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53222"/>
  <mc:AlternateContent xmlns:mc="http://schemas.openxmlformats.org/markup-compatibility/2006">
    <mc:Choice Requires="x15">
      <x15ac:absPath xmlns:x15ac="http://schemas.microsoft.com/office/spreadsheetml/2010/11/ac" url="C:\Users\mg\Desktop\A1 Energirenovering2020 RK\5_Pakkeløsninger til energirenovering\"/>
    </mc:Choice>
  </mc:AlternateContent>
  <bookViews>
    <workbookView xWindow="0" yWindow="0" windowWidth="14376" windowHeight="5748"/>
  </bookViews>
  <sheets>
    <sheet name="Anlægsudgift" sheetId="11" r:id="rId1"/>
    <sheet name="Varmebesparelse" sheetId="7" r:id="rId2"/>
    <sheet name="Nutidsværdi" sheetId="6" r:id="rId3"/>
    <sheet name="Nutidsværdi (2)" sheetId="2" state="hidden" r:id="rId4"/>
    <sheet name="Varmebesparelse (2)" sheetId="3" state="hidden" r:id="rId5"/>
    <sheet name="GWP etablering" sheetId="9" r:id="rId6"/>
    <sheet name="GWP drift" sheetId="8" r:id="rId7"/>
    <sheet name="GWP TBT" sheetId="10" r:id="rId8"/>
    <sheet name="GWP drift (2)" sheetId="5" state="hidden" r:id="rId9"/>
    <sheet name="Ark1" sheetId="1" state="hidden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11" l="1"/>
  <c r="S14" i="11"/>
  <c r="R14" i="11"/>
  <c r="P14" i="11"/>
  <c r="O14" i="11"/>
  <c r="M14" i="11"/>
  <c r="L14" i="11"/>
  <c r="K14" i="11"/>
  <c r="I14" i="11"/>
  <c r="H14" i="11"/>
  <c r="G14" i="11"/>
  <c r="T15" i="11"/>
  <c r="S15" i="11"/>
  <c r="R15" i="11"/>
  <c r="P15" i="11"/>
  <c r="O15" i="11"/>
  <c r="M15" i="11"/>
  <c r="L15" i="11"/>
  <c r="K15" i="11"/>
  <c r="I15" i="11"/>
  <c r="H15" i="11"/>
  <c r="G15" i="11"/>
  <c r="T27" i="11"/>
  <c r="S27" i="11"/>
  <c r="R27" i="11"/>
  <c r="P27" i="11"/>
  <c r="O27" i="11"/>
  <c r="M27" i="11"/>
  <c r="L27" i="11"/>
  <c r="K27" i="11"/>
  <c r="I27" i="11"/>
  <c r="H27" i="11"/>
  <c r="G27" i="11"/>
  <c r="T21" i="11"/>
  <c r="S21" i="11"/>
  <c r="R21" i="11"/>
  <c r="P21" i="11"/>
  <c r="O21" i="11"/>
  <c r="M21" i="11"/>
  <c r="L21" i="11"/>
  <c r="K21" i="11"/>
  <c r="I21" i="11"/>
  <c r="H21" i="11"/>
  <c r="G21" i="11"/>
  <c r="T19" i="11"/>
  <c r="S19" i="11"/>
  <c r="R19" i="11"/>
  <c r="P19" i="11"/>
  <c r="O19" i="11"/>
  <c r="M19" i="11"/>
  <c r="L19" i="11"/>
  <c r="K19" i="11"/>
  <c r="I19" i="11"/>
  <c r="H19" i="11"/>
  <c r="G19" i="11"/>
  <c r="T13" i="11"/>
  <c r="S13" i="11"/>
  <c r="R13" i="11"/>
  <c r="P13" i="11"/>
  <c r="O13" i="11"/>
  <c r="M13" i="11"/>
  <c r="L13" i="11"/>
  <c r="K13" i="11"/>
  <c r="I13" i="11"/>
  <c r="H13" i="11"/>
  <c r="G13" i="11"/>
  <c r="T16" i="11"/>
  <c r="S16" i="11"/>
  <c r="R16" i="11"/>
  <c r="P16" i="11"/>
  <c r="O16" i="11"/>
  <c r="M16" i="11"/>
  <c r="L16" i="11"/>
  <c r="K16" i="11"/>
  <c r="I16" i="11"/>
  <c r="H16" i="11"/>
  <c r="G16" i="11"/>
  <c r="T10" i="11"/>
  <c r="S10" i="11"/>
  <c r="R10" i="11"/>
  <c r="P10" i="11"/>
  <c r="O10" i="11"/>
  <c r="M10" i="11"/>
  <c r="L10" i="11"/>
  <c r="K10" i="11"/>
  <c r="I10" i="11"/>
  <c r="H10" i="11"/>
  <c r="G10" i="11"/>
  <c r="T12" i="11"/>
  <c r="S12" i="11"/>
  <c r="R12" i="11"/>
  <c r="P12" i="11"/>
  <c r="O12" i="11"/>
  <c r="M12" i="11"/>
  <c r="L12" i="11"/>
  <c r="K12" i="11"/>
  <c r="I12" i="11"/>
  <c r="H12" i="11"/>
  <c r="G12" i="11"/>
  <c r="T8" i="11"/>
  <c r="S8" i="11"/>
  <c r="R8" i="11"/>
  <c r="P8" i="11"/>
  <c r="O8" i="11"/>
  <c r="M8" i="11"/>
  <c r="L8" i="11"/>
  <c r="K8" i="11"/>
  <c r="I8" i="11"/>
  <c r="H8" i="11"/>
  <c r="G8" i="11"/>
  <c r="T23" i="11"/>
  <c r="S23" i="11"/>
  <c r="R23" i="11"/>
  <c r="P23" i="11"/>
  <c r="O23" i="11"/>
  <c r="M23" i="11"/>
  <c r="L23" i="11"/>
  <c r="K23" i="11"/>
  <c r="I23" i="11"/>
  <c r="H23" i="11"/>
  <c r="G23" i="11"/>
  <c r="T17" i="11"/>
  <c r="S17" i="11"/>
  <c r="R17" i="11"/>
  <c r="P17" i="11"/>
  <c r="O17" i="11"/>
  <c r="M17" i="11"/>
  <c r="L17" i="11"/>
  <c r="K17" i="11"/>
  <c r="I17" i="11"/>
  <c r="H17" i="11"/>
  <c r="G17" i="11"/>
  <c r="T18" i="11"/>
  <c r="S18" i="11"/>
  <c r="R18" i="11"/>
  <c r="P18" i="11"/>
  <c r="O18" i="11"/>
  <c r="M18" i="11"/>
  <c r="L18" i="11"/>
  <c r="K18" i="11"/>
  <c r="I18" i="11"/>
  <c r="H18" i="11"/>
  <c r="G18" i="11"/>
  <c r="T25" i="11"/>
  <c r="S25" i="11"/>
  <c r="R25" i="11"/>
  <c r="P25" i="11"/>
  <c r="O25" i="11"/>
  <c r="M25" i="11"/>
  <c r="L25" i="11"/>
  <c r="K25" i="11"/>
  <c r="I25" i="11"/>
  <c r="H25" i="11"/>
  <c r="G25" i="11"/>
  <c r="T20" i="11"/>
  <c r="S20" i="11"/>
  <c r="R20" i="11"/>
  <c r="P20" i="11"/>
  <c r="O20" i="11"/>
  <c r="M20" i="11"/>
  <c r="L20" i="11"/>
  <c r="K20" i="11"/>
  <c r="I20" i="11"/>
  <c r="H20" i="11"/>
  <c r="G20" i="11"/>
  <c r="T24" i="11"/>
  <c r="S24" i="11"/>
  <c r="R24" i="11"/>
  <c r="P24" i="11"/>
  <c r="O24" i="11"/>
  <c r="M24" i="11"/>
  <c r="L24" i="11"/>
  <c r="K24" i="11"/>
  <c r="I24" i="11"/>
  <c r="H24" i="11"/>
  <c r="G24" i="11"/>
  <c r="T26" i="11"/>
  <c r="S26" i="11"/>
  <c r="R26" i="11"/>
  <c r="P26" i="11"/>
  <c r="O26" i="11"/>
  <c r="M26" i="11"/>
  <c r="L26" i="11"/>
  <c r="K26" i="11"/>
  <c r="I26" i="11"/>
  <c r="H26" i="11"/>
  <c r="G26" i="11"/>
  <c r="T22" i="11"/>
  <c r="S22" i="11"/>
  <c r="R22" i="11"/>
  <c r="P22" i="11"/>
  <c r="O22" i="11"/>
  <c r="M22" i="11"/>
  <c r="L22" i="11"/>
  <c r="K22" i="11"/>
  <c r="I22" i="11"/>
  <c r="H22" i="11"/>
  <c r="G22" i="11"/>
  <c r="T27" i="10" l="1"/>
  <c r="S27" i="10"/>
  <c r="R27" i="10"/>
  <c r="P27" i="10"/>
  <c r="O27" i="10"/>
  <c r="M27" i="10"/>
  <c r="L27" i="10"/>
  <c r="K27" i="10"/>
  <c r="I27" i="10"/>
  <c r="H27" i="10"/>
  <c r="G27" i="10"/>
  <c r="T23" i="10"/>
  <c r="S23" i="10"/>
  <c r="R23" i="10"/>
  <c r="P23" i="10"/>
  <c r="O23" i="10"/>
  <c r="M23" i="10"/>
  <c r="L23" i="10"/>
  <c r="K23" i="10"/>
  <c r="I23" i="10"/>
  <c r="H23" i="10"/>
  <c r="G23" i="10"/>
  <c r="T25" i="10"/>
  <c r="S25" i="10"/>
  <c r="R25" i="10"/>
  <c r="P25" i="10"/>
  <c r="O25" i="10"/>
  <c r="M25" i="10"/>
  <c r="L25" i="10"/>
  <c r="K25" i="10"/>
  <c r="I25" i="10"/>
  <c r="H25" i="10"/>
  <c r="G25" i="10"/>
  <c r="T26" i="10"/>
  <c r="S26" i="10"/>
  <c r="R26" i="10"/>
  <c r="P26" i="10"/>
  <c r="O26" i="10"/>
  <c r="M26" i="10"/>
  <c r="L26" i="10"/>
  <c r="K26" i="10"/>
  <c r="I26" i="10"/>
  <c r="H26" i="10"/>
  <c r="G26" i="10"/>
  <c r="T16" i="10"/>
  <c r="S16" i="10"/>
  <c r="R16" i="10"/>
  <c r="P16" i="10"/>
  <c r="O16" i="10"/>
  <c r="M16" i="10"/>
  <c r="L16" i="10"/>
  <c r="K16" i="10"/>
  <c r="I16" i="10"/>
  <c r="H16" i="10"/>
  <c r="G16" i="10"/>
  <c r="T21" i="10"/>
  <c r="S21" i="10"/>
  <c r="R21" i="10"/>
  <c r="P21" i="10"/>
  <c r="O21" i="10"/>
  <c r="M21" i="10"/>
  <c r="L21" i="10"/>
  <c r="K21" i="10"/>
  <c r="I21" i="10"/>
  <c r="H21" i="10"/>
  <c r="G21" i="10"/>
  <c r="T14" i="10"/>
  <c r="S14" i="10"/>
  <c r="R14" i="10"/>
  <c r="P14" i="10"/>
  <c r="O14" i="10"/>
  <c r="M14" i="10"/>
  <c r="L14" i="10"/>
  <c r="K14" i="10"/>
  <c r="I14" i="10"/>
  <c r="H14" i="10"/>
  <c r="G14" i="10"/>
  <c r="T18" i="10"/>
  <c r="S18" i="10"/>
  <c r="R18" i="10"/>
  <c r="P18" i="10"/>
  <c r="O18" i="10"/>
  <c r="M18" i="10"/>
  <c r="L18" i="10"/>
  <c r="K18" i="10"/>
  <c r="I18" i="10"/>
  <c r="H18" i="10"/>
  <c r="G18" i="10"/>
  <c r="T20" i="10"/>
  <c r="S20" i="10"/>
  <c r="R20" i="10"/>
  <c r="P20" i="10"/>
  <c r="O20" i="10"/>
  <c r="M20" i="10"/>
  <c r="L20" i="10"/>
  <c r="K20" i="10"/>
  <c r="I20" i="10"/>
  <c r="H20" i="10"/>
  <c r="G20" i="10"/>
  <c r="T19" i="10"/>
  <c r="S19" i="10"/>
  <c r="R19" i="10"/>
  <c r="P19" i="10"/>
  <c r="O19" i="10"/>
  <c r="M19" i="10"/>
  <c r="L19" i="10"/>
  <c r="K19" i="10"/>
  <c r="I19" i="10"/>
  <c r="H19" i="10"/>
  <c r="G19" i="10"/>
  <c r="T15" i="10"/>
  <c r="S15" i="10"/>
  <c r="R15" i="10"/>
  <c r="P15" i="10"/>
  <c r="O15" i="10"/>
  <c r="M15" i="10"/>
  <c r="L15" i="10"/>
  <c r="K15" i="10"/>
  <c r="I15" i="10"/>
  <c r="H15" i="10"/>
  <c r="G15" i="10"/>
  <c r="T17" i="10"/>
  <c r="S17" i="10"/>
  <c r="R17" i="10"/>
  <c r="P17" i="10"/>
  <c r="O17" i="10"/>
  <c r="M17" i="10"/>
  <c r="L17" i="10"/>
  <c r="K17" i="10"/>
  <c r="I17" i="10"/>
  <c r="H17" i="10"/>
  <c r="G17" i="10"/>
  <c r="T8" i="10"/>
  <c r="S8" i="10"/>
  <c r="R8" i="10"/>
  <c r="P8" i="10"/>
  <c r="O8" i="10"/>
  <c r="M8" i="10"/>
  <c r="L8" i="10"/>
  <c r="K8" i="10"/>
  <c r="I8" i="10"/>
  <c r="H8" i="10"/>
  <c r="G8" i="10"/>
  <c r="T24" i="10"/>
  <c r="S24" i="10"/>
  <c r="R24" i="10"/>
  <c r="P24" i="10"/>
  <c r="O24" i="10"/>
  <c r="M24" i="10"/>
  <c r="L24" i="10"/>
  <c r="K24" i="10"/>
  <c r="I24" i="10"/>
  <c r="H24" i="10"/>
  <c r="G24" i="10"/>
  <c r="T22" i="10"/>
  <c r="S22" i="10"/>
  <c r="R22" i="10"/>
  <c r="P22" i="10"/>
  <c r="O22" i="10"/>
  <c r="M22" i="10"/>
  <c r="L22" i="10"/>
  <c r="K22" i="10"/>
  <c r="I22" i="10"/>
  <c r="H22" i="10"/>
  <c r="G22" i="10"/>
  <c r="T13" i="10"/>
  <c r="S13" i="10"/>
  <c r="R13" i="10"/>
  <c r="P13" i="10"/>
  <c r="O13" i="10"/>
  <c r="M13" i="10"/>
  <c r="L13" i="10"/>
  <c r="K13" i="10"/>
  <c r="I13" i="10"/>
  <c r="H13" i="10"/>
  <c r="G13" i="10"/>
  <c r="T12" i="10"/>
  <c r="S12" i="10"/>
  <c r="R12" i="10"/>
  <c r="P12" i="10"/>
  <c r="O12" i="10"/>
  <c r="M12" i="10"/>
  <c r="L12" i="10"/>
  <c r="K12" i="10"/>
  <c r="I12" i="10"/>
  <c r="H12" i="10"/>
  <c r="G12" i="10"/>
  <c r="T10" i="10"/>
  <c r="S10" i="10"/>
  <c r="R10" i="10"/>
  <c r="P10" i="10"/>
  <c r="O10" i="10"/>
  <c r="M10" i="10"/>
  <c r="L10" i="10"/>
  <c r="K10" i="10"/>
  <c r="I10" i="10"/>
  <c r="H10" i="10"/>
  <c r="G10" i="10"/>
  <c r="T14" i="9"/>
  <c r="S14" i="9"/>
  <c r="R14" i="9"/>
  <c r="P14" i="9"/>
  <c r="O14" i="9"/>
  <c r="M14" i="9"/>
  <c r="L14" i="9"/>
  <c r="K14" i="9"/>
  <c r="I14" i="9"/>
  <c r="H14" i="9"/>
  <c r="G14" i="9"/>
  <c r="T8" i="9"/>
  <c r="S8" i="9"/>
  <c r="R8" i="9"/>
  <c r="P8" i="9"/>
  <c r="O8" i="9"/>
  <c r="M8" i="9"/>
  <c r="L8" i="9"/>
  <c r="K8" i="9"/>
  <c r="I8" i="9"/>
  <c r="H8" i="9"/>
  <c r="G8" i="9"/>
  <c r="T10" i="9"/>
  <c r="S10" i="9"/>
  <c r="R10" i="9"/>
  <c r="P10" i="9"/>
  <c r="O10" i="9"/>
  <c r="M10" i="9"/>
  <c r="L10" i="9"/>
  <c r="K10" i="9"/>
  <c r="I10" i="9"/>
  <c r="H10" i="9"/>
  <c r="G10" i="9"/>
  <c r="T13" i="9"/>
  <c r="S13" i="9"/>
  <c r="R13" i="9"/>
  <c r="P13" i="9"/>
  <c r="O13" i="9"/>
  <c r="M13" i="9"/>
  <c r="L13" i="9"/>
  <c r="K13" i="9"/>
  <c r="I13" i="9"/>
  <c r="H13" i="9"/>
  <c r="G13" i="9"/>
  <c r="T12" i="9"/>
  <c r="S12" i="9"/>
  <c r="R12" i="9"/>
  <c r="P12" i="9"/>
  <c r="O12" i="9"/>
  <c r="M12" i="9"/>
  <c r="L12" i="9"/>
  <c r="K12" i="9"/>
  <c r="I12" i="9"/>
  <c r="H12" i="9"/>
  <c r="G12" i="9"/>
  <c r="T16" i="9"/>
  <c r="S16" i="9"/>
  <c r="R16" i="9"/>
  <c r="P16" i="9"/>
  <c r="O16" i="9"/>
  <c r="M16" i="9"/>
  <c r="L16" i="9"/>
  <c r="K16" i="9"/>
  <c r="I16" i="9"/>
  <c r="H16" i="9"/>
  <c r="G16" i="9"/>
  <c r="T18" i="9"/>
  <c r="S18" i="9"/>
  <c r="R18" i="9"/>
  <c r="P18" i="9"/>
  <c r="O18" i="9"/>
  <c r="M18" i="9"/>
  <c r="L18" i="9"/>
  <c r="K18" i="9"/>
  <c r="I18" i="9"/>
  <c r="H18" i="9"/>
  <c r="G18" i="9"/>
  <c r="T19" i="9"/>
  <c r="S19" i="9"/>
  <c r="R19" i="9"/>
  <c r="P19" i="9"/>
  <c r="O19" i="9"/>
  <c r="M19" i="9"/>
  <c r="L19" i="9"/>
  <c r="K19" i="9"/>
  <c r="I19" i="9"/>
  <c r="H19" i="9"/>
  <c r="G19" i="9"/>
  <c r="T17" i="9"/>
  <c r="S17" i="9"/>
  <c r="R17" i="9"/>
  <c r="P17" i="9"/>
  <c r="O17" i="9"/>
  <c r="M17" i="9"/>
  <c r="L17" i="9"/>
  <c r="K17" i="9"/>
  <c r="I17" i="9"/>
  <c r="H17" i="9"/>
  <c r="G17" i="9"/>
  <c r="T24" i="9"/>
  <c r="S24" i="9"/>
  <c r="R24" i="9"/>
  <c r="P24" i="9"/>
  <c r="O24" i="9"/>
  <c r="M24" i="9"/>
  <c r="L24" i="9"/>
  <c r="K24" i="9"/>
  <c r="I24" i="9"/>
  <c r="H24" i="9"/>
  <c r="G24" i="9"/>
  <c r="T20" i="9"/>
  <c r="S20" i="9"/>
  <c r="R20" i="9"/>
  <c r="P20" i="9"/>
  <c r="O20" i="9"/>
  <c r="M20" i="9"/>
  <c r="L20" i="9"/>
  <c r="K20" i="9"/>
  <c r="I20" i="9"/>
  <c r="H20" i="9"/>
  <c r="G20" i="9"/>
  <c r="T15" i="9"/>
  <c r="S15" i="9"/>
  <c r="R15" i="9"/>
  <c r="P15" i="9"/>
  <c r="O15" i="9"/>
  <c r="M15" i="9"/>
  <c r="L15" i="9"/>
  <c r="K15" i="9"/>
  <c r="I15" i="9"/>
  <c r="H15" i="9"/>
  <c r="G15" i="9"/>
  <c r="T27" i="9"/>
  <c r="S27" i="9"/>
  <c r="R27" i="9"/>
  <c r="P27" i="9"/>
  <c r="O27" i="9"/>
  <c r="M27" i="9"/>
  <c r="L27" i="9"/>
  <c r="K27" i="9"/>
  <c r="I27" i="9"/>
  <c r="H27" i="9"/>
  <c r="G27" i="9"/>
  <c r="T21" i="9"/>
  <c r="S21" i="9"/>
  <c r="R21" i="9"/>
  <c r="P21" i="9"/>
  <c r="O21" i="9"/>
  <c r="M21" i="9"/>
  <c r="L21" i="9"/>
  <c r="K21" i="9"/>
  <c r="I21" i="9"/>
  <c r="H21" i="9"/>
  <c r="G21" i="9"/>
  <c r="T22" i="9"/>
  <c r="S22" i="9"/>
  <c r="R22" i="9"/>
  <c r="P22" i="9"/>
  <c r="O22" i="9"/>
  <c r="M22" i="9"/>
  <c r="L22" i="9"/>
  <c r="K22" i="9"/>
  <c r="I22" i="9"/>
  <c r="H22" i="9"/>
  <c r="G22" i="9"/>
  <c r="T25" i="9"/>
  <c r="S25" i="9"/>
  <c r="R25" i="9"/>
  <c r="P25" i="9"/>
  <c r="O25" i="9"/>
  <c r="M25" i="9"/>
  <c r="L25" i="9"/>
  <c r="K25" i="9"/>
  <c r="I25" i="9"/>
  <c r="H25" i="9"/>
  <c r="G25" i="9"/>
  <c r="T23" i="9"/>
  <c r="S23" i="9"/>
  <c r="R23" i="9"/>
  <c r="P23" i="9"/>
  <c r="O23" i="9"/>
  <c r="M23" i="9"/>
  <c r="L23" i="9"/>
  <c r="K23" i="9"/>
  <c r="I23" i="9"/>
  <c r="H23" i="9"/>
  <c r="G23" i="9"/>
  <c r="T26" i="9"/>
  <c r="S26" i="9"/>
  <c r="R26" i="9"/>
  <c r="P26" i="9"/>
  <c r="O26" i="9"/>
  <c r="M26" i="9"/>
  <c r="L26" i="9"/>
  <c r="K26" i="9"/>
  <c r="I26" i="9"/>
  <c r="H26" i="9"/>
  <c r="G26" i="9"/>
  <c r="T27" i="8"/>
  <c r="S27" i="8"/>
  <c r="R27" i="8"/>
  <c r="P27" i="8"/>
  <c r="O27" i="8"/>
  <c r="M27" i="8"/>
  <c r="L27" i="8"/>
  <c r="K27" i="8"/>
  <c r="I27" i="8"/>
  <c r="H27" i="8"/>
  <c r="G27" i="8"/>
  <c r="T24" i="8"/>
  <c r="S24" i="8"/>
  <c r="R24" i="8"/>
  <c r="P24" i="8"/>
  <c r="O24" i="8"/>
  <c r="M24" i="8"/>
  <c r="L24" i="8"/>
  <c r="K24" i="8"/>
  <c r="I24" i="8"/>
  <c r="H24" i="8"/>
  <c r="G24" i="8"/>
  <c r="T25" i="8"/>
  <c r="S25" i="8"/>
  <c r="R25" i="8"/>
  <c r="P25" i="8"/>
  <c r="O25" i="8"/>
  <c r="M25" i="8"/>
  <c r="L25" i="8"/>
  <c r="K25" i="8"/>
  <c r="I25" i="8"/>
  <c r="H25" i="8"/>
  <c r="G25" i="8"/>
  <c r="T26" i="8"/>
  <c r="S26" i="8"/>
  <c r="R26" i="8"/>
  <c r="P26" i="8"/>
  <c r="O26" i="8"/>
  <c r="M26" i="8"/>
  <c r="L26" i="8"/>
  <c r="K26" i="8"/>
  <c r="I26" i="8"/>
  <c r="H26" i="8"/>
  <c r="G26" i="8"/>
  <c r="T22" i="8"/>
  <c r="S22" i="8"/>
  <c r="R22" i="8"/>
  <c r="P22" i="8"/>
  <c r="O22" i="8"/>
  <c r="M22" i="8"/>
  <c r="L22" i="8"/>
  <c r="K22" i="8"/>
  <c r="I22" i="8"/>
  <c r="H22" i="8"/>
  <c r="G22" i="8"/>
  <c r="T20" i="8"/>
  <c r="S20" i="8"/>
  <c r="R20" i="8"/>
  <c r="P20" i="8"/>
  <c r="O20" i="8"/>
  <c r="M20" i="8"/>
  <c r="L20" i="8"/>
  <c r="K20" i="8"/>
  <c r="I20" i="8"/>
  <c r="H20" i="8"/>
  <c r="G20" i="8"/>
  <c r="T23" i="8"/>
  <c r="S23" i="8"/>
  <c r="R23" i="8"/>
  <c r="P23" i="8"/>
  <c r="O23" i="8"/>
  <c r="M23" i="8"/>
  <c r="L23" i="8"/>
  <c r="K23" i="8"/>
  <c r="I23" i="8"/>
  <c r="H23" i="8"/>
  <c r="G23" i="8"/>
  <c r="T21" i="8"/>
  <c r="S21" i="8"/>
  <c r="R21" i="8"/>
  <c r="P21" i="8"/>
  <c r="O21" i="8"/>
  <c r="M21" i="8"/>
  <c r="L21" i="8"/>
  <c r="K21" i="8"/>
  <c r="I21" i="8"/>
  <c r="H21" i="8"/>
  <c r="G21" i="8"/>
  <c r="T19" i="8"/>
  <c r="S19" i="8"/>
  <c r="R19" i="8"/>
  <c r="P19" i="8"/>
  <c r="O19" i="8"/>
  <c r="M19" i="8"/>
  <c r="L19" i="8"/>
  <c r="K19" i="8"/>
  <c r="I19" i="8"/>
  <c r="H19" i="8"/>
  <c r="G19" i="8"/>
  <c r="T17" i="8"/>
  <c r="S17" i="8"/>
  <c r="R17" i="8"/>
  <c r="P17" i="8"/>
  <c r="O17" i="8"/>
  <c r="M17" i="8"/>
  <c r="L17" i="8"/>
  <c r="K17" i="8"/>
  <c r="I17" i="8"/>
  <c r="H17" i="8"/>
  <c r="G17" i="8"/>
  <c r="T13" i="8"/>
  <c r="S13" i="8"/>
  <c r="R13" i="8"/>
  <c r="P13" i="8"/>
  <c r="O13" i="8"/>
  <c r="M13" i="8"/>
  <c r="L13" i="8"/>
  <c r="K13" i="8"/>
  <c r="I13" i="8"/>
  <c r="H13" i="8"/>
  <c r="G13" i="8"/>
  <c r="T16" i="8"/>
  <c r="S16" i="8"/>
  <c r="R16" i="8"/>
  <c r="P16" i="8"/>
  <c r="O16" i="8"/>
  <c r="M16" i="8"/>
  <c r="L16" i="8"/>
  <c r="K16" i="8"/>
  <c r="I16" i="8"/>
  <c r="H16" i="8"/>
  <c r="G16" i="8"/>
  <c r="T18" i="8"/>
  <c r="S18" i="8"/>
  <c r="R18" i="8"/>
  <c r="P18" i="8"/>
  <c r="O18" i="8"/>
  <c r="M18" i="8"/>
  <c r="L18" i="8"/>
  <c r="K18" i="8"/>
  <c r="I18" i="8"/>
  <c r="H18" i="8"/>
  <c r="G18" i="8"/>
  <c r="T15" i="8"/>
  <c r="S15" i="8"/>
  <c r="R15" i="8"/>
  <c r="P15" i="8"/>
  <c r="O15" i="8"/>
  <c r="M15" i="8"/>
  <c r="L15" i="8"/>
  <c r="K15" i="8"/>
  <c r="I15" i="8"/>
  <c r="H15" i="8"/>
  <c r="G15" i="8"/>
  <c r="T14" i="8"/>
  <c r="S14" i="8"/>
  <c r="R14" i="8"/>
  <c r="P14" i="8"/>
  <c r="O14" i="8"/>
  <c r="M14" i="8"/>
  <c r="L14" i="8"/>
  <c r="K14" i="8"/>
  <c r="I14" i="8"/>
  <c r="H14" i="8"/>
  <c r="G14" i="8"/>
  <c r="T10" i="8"/>
  <c r="S10" i="8"/>
  <c r="R10" i="8"/>
  <c r="P10" i="8"/>
  <c r="O10" i="8"/>
  <c r="M10" i="8"/>
  <c r="L10" i="8"/>
  <c r="K10" i="8"/>
  <c r="I10" i="8"/>
  <c r="H10" i="8"/>
  <c r="G10" i="8"/>
  <c r="T12" i="8"/>
  <c r="S12" i="8"/>
  <c r="R12" i="8"/>
  <c r="P12" i="8"/>
  <c r="O12" i="8"/>
  <c r="M12" i="8"/>
  <c r="L12" i="8"/>
  <c r="K12" i="8"/>
  <c r="I12" i="8"/>
  <c r="H12" i="8"/>
  <c r="G12" i="8"/>
  <c r="T8" i="8"/>
  <c r="S8" i="8"/>
  <c r="R8" i="8"/>
  <c r="P8" i="8"/>
  <c r="O8" i="8"/>
  <c r="M8" i="8"/>
  <c r="L8" i="8"/>
  <c r="K8" i="8"/>
  <c r="I8" i="8"/>
  <c r="H8" i="8"/>
  <c r="G8" i="8"/>
  <c r="T24" i="7"/>
  <c r="S24" i="7"/>
  <c r="R24" i="7"/>
  <c r="P24" i="7"/>
  <c r="O24" i="7"/>
  <c r="M24" i="7"/>
  <c r="L24" i="7"/>
  <c r="K24" i="7"/>
  <c r="I24" i="7"/>
  <c r="H24" i="7"/>
  <c r="G24" i="7"/>
  <c r="T21" i="7"/>
  <c r="S21" i="7"/>
  <c r="R21" i="7"/>
  <c r="P21" i="7"/>
  <c r="O21" i="7"/>
  <c r="M21" i="7"/>
  <c r="L21" i="7"/>
  <c r="K21" i="7"/>
  <c r="I21" i="7"/>
  <c r="H21" i="7"/>
  <c r="G21" i="7"/>
  <c r="T18" i="7"/>
  <c r="S18" i="7"/>
  <c r="R18" i="7"/>
  <c r="P18" i="7"/>
  <c r="O18" i="7"/>
  <c r="M18" i="7"/>
  <c r="L18" i="7"/>
  <c r="K18" i="7"/>
  <c r="I18" i="7"/>
  <c r="H18" i="7"/>
  <c r="G18" i="7"/>
  <c r="T20" i="7"/>
  <c r="S20" i="7"/>
  <c r="R20" i="7"/>
  <c r="P20" i="7"/>
  <c r="O20" i="7"/>
  <c r="M20" i="7"/>
  <c r="L20" i="7"/>
  <c r="K20" i="7"/>
  <c r="I20" i="7"/>
  <c r="H20" i="7"/>
  <c r="G20" i="7"/>
  <c r="T19" i="7"/>
  <c r="S19" i="7"/>
  <c r="R19" i="7"/>
  <c r="P19" i="7"/>
  <c r="O19" i="7"/>
  <c r="M19" i="7"/>
  <c r="L19" i="7"/>
  <c r="K19" i="7"/>
  <c r="I19" i="7"/>
  <c r="H19" i="7"/>
  <c r="G19" i="7"/>
  <c r="T26" i="7"/>
  <c r="S26" i="7"/>
  <c r="R26" i="7"/>
  <c r="P26" i="7"/>
  <c r="O26" i="7"/>
  <c r="M26" i="7"/>
  <c r="L26" i="7"/>
  <c r="K26" i="7"/>
  <c r="I26" i="7"/>
  <c r="H26" i="7"/>
  <c r="G26" i="7"/>
  <c r="T22" i="7"/>
  <c r="S22" i="7"/>
  <c r="R22" i="7"/>
  <c r="P22" i="7"/>
  <c r="O22" i="7"/>
  <c r="M22" i="7"/>
  <c r="L22" i="7"/>
  <c r="K22" i="7"/>
  <c r="I22" i="7"/>
  <c r="H22" i="7"/>
  <c r="G22" i="7"/>
  <c r="T27" i="7"/>
  <c r="S27" i="7"/>
  <c r="R27" i="7"/>
  <c r="P27" i="7"/>
  <c r="O27" i="7"/>
  <c r="M27" i="7"/>
  <c r="L27" i="7"/>
  <c r="K27" i="7"/>
  <c r="I27" i="7"/>
  <c r="H27" i="7"/>
  <c r="G27" i="7"/>
  <c r="T23" i="7"/>
  <c r="S23" i="7"/>
  <c r="R23" i="7"/>
  <c r="P23" i="7"/>
  <c r="O23" i="7"/>
  <c r="M23" i="7"/>
  <c r="L23" i="7"/>
  <c r="K23" i="7"/>
  <c r="I23" i="7"/>
  <c r="H23" i="7"/>
  <c r="G23" i="7"/>
  <c r="T25" i="7"/>
  <c r="S25" i="7"/>
  <c r="R25" i="7"/>
  <c r="P25" i="7"/>
  <c r="O25" i="7"/>
  <c r="M25" i="7"/>
  <c r="L25" i="7"/>
  <c r="K25" i="7"/>
  <c r="I25" i="7"/>
  <c r="H25" i="7"/>
  <c r="G25" i="7"/>
  <c r="T13" i="7"/>
  <c r="S13" i="7"/>
  <c r="R13" i="7"/>
  <c r="P13" i="7"/>
  <c r="O13" i="7"/>
  <c r="M13" i="7"/>
  <c r="L13" i="7"/>
  <c r="K13" i="7"/>
  <c r="I13" i="7"/>
  <c r="H13" i="7"/>
  <c r="G13" i="7"/>
  <c r="T16" i="7"/>
  <c r="S16" i="7"/>
  <c r="R16" i="7"/>
  <c r="P16" i="7"/>
  <c r="O16" i="7"/>
  <c r="M16" i="7"/>
  <c r="L16" i="7"/>
  <c r="K16" i="7"/>
  <c r="I16" i="7"/>
  <c r="H16" i="7"/>
  <c r="G16" i="7"/>
  <c r="T15" i="7"/>
  <c r="S15" i="7"/>
  <c r="R15" i="7"/>
  <c r="P15" i="7"/>
  <c r="O15" i="7"/>
  <c r="M15" i="7"/>
  <c r="L15" i="7"/>
  <c r="K15" i="7"/>
  <c r="I15" i="7"/>
  <c r="H15" i="7"/>
  <c r="G15" i="7"/>
  <c r="T10" i="7"/>
  <c r="S10" i="7"/>
  <c r="R10" i="7"/>
  <c r="P10" i="7"/>
  <c r="O10" i="7"/>
  <c r="M10" i="7"/>
  <c r="L10" i="7"/>
  <c r="K10" i="7"/>
  <c r="I10" i="7"/>
  <c r="H10" i="7"/>
  <c r="G10" i="7"/>
  <c r="T17" i="7"/>
  <c r="S17" i="7"/>
  <c r="R17" i="7"/>
  <c r="P17" i="7"/>
  <c r="O17" i="7"/>
  <c r="M17" i="7"/>
  <c r="L17" i="7"/>
  <c r="K17" i="7"/>
  <c r="I17" i="7"/>
  <c r="H17" i="7"/>
  <c r="G17" i="7"/>
  <c r="T14" i="7"/>
  <c r="S14" i="7"/>
  <c r="R14" i="7"/>
  <c r="P14" i="7"/>
  <c r="O14" i="7"/>
  <c r="M14" i="7"/>
  <c r="L14" i="7"/>
  <c r="K14" i="7"/>
  <c r="I14" i="7"/>
  <c r="H14" i="7"/>
  <c r="G14" i="7"/>
  <c r="T8" i="7"/>
  <c r="S8" i="7"/>
  <c r="R8" i="7"/>
  <c r="P8" i="7"/>
  <c r="O8" i="7"/>
  <c r="M8" i="7"/>
  <c r="L8" i="7"/>
  <c r="K8" i="7"/>
  <c r="I8" i="7"/>
  <c r="H8" i="7"/>
  <c r="G8" i="7"/>
  <c r="T12" i="7"/>
  <c r="S12" i="7"/>
  <c r="R12" i="7"/>
  <c r="P12" i="7"/>
  <c r="O12" i="7"/>
  <c r="M12" i="7"/>
  <c r="L12" i="7"/>
  <c r="K12" i="7"/>
  <c r="I12" i="7"/>
  <c r="H12" i="7"/>
  <c r="G12" i="7"/>
  <c r="T21" i="6" l="1"/>
  <c r="T19" i="6"/>
  <c r="T17" i="6"/>
  <c r="T16" i="6"/>
  <c r="T25" i="6"/>
  <c r="T23" i="6"/>
  <c r="T14" i="6"/>
  <c r="T13" i="6"/>
  <c r="T10" i="6"/>
  <c r="T8" i="6"/>
  <c r="T15" i="6"/>
  <c r="T12" i="6"/>
  <c r="T27" i="6"/>
  <c r="T26" i="6"/>
  <c r="T18" i="6"/>
  <c r="T24" i="6"/>
  <c r="T22" i="6"/>
  <c r="T20" i="6"/>
  <c r="S21" i="6"/>
  <c r="S19" i="6"/>
  <c r="S17" i="6"/>
  <c r="S16" i="6"/>
  <c r="S25" i="6"/>
  <c r="S23" i="6"/>
  <c r="S14" i="6"/>
  <c r="S13" i="6"/>
  <c r="S10" i="6"/>
  <c r="S8" i="6"/>
  <c r="S15" i="6"/>
  <c r="S12" i="6"/>
  <c r="S27" i="6"/>
  <c r="S26" i="6"/>
  <c r="S18" i="6"/>
  <c r="S24" i="6"/>
  <c r="S22" i="6"/>
  <c r="S20" i="6"/>
  <c r="R21" i="6"/>
  <c r="R19" i="6"/>
  <c r="R17" i="6"/>
  <c r="R16" i="6"/>
  <c r="R25" i="6"/>
  <c r="R23" i="6"/>
  <c r="R14" i="6"/>
  <c r="R13" i="6"/>
  <c r="R10" i="6"/>
  <c r="R8" i="6"/>
  <c r="R15" i="6"/>
  <c r="R12" i="6"/>
  <c r="R27" i="6"/>
  <c r="R26" i="6"/>
  <c r="R18" i="6"/>
  <c r="R24" i="6"/>
  <c r="R22" i="6"/>
  <c r="R20" i="6"/>
  <c r="P21" i="6"/>
  <c r="P19" i="6"/>
  <c r="P17" i="6"/>
  <c r="P16" i="6"/>
  <c r="P25" i="6"/>
  <c r="P23" i="6"/>
  <c r="P14" i="6"/>
  <c r="P13" i="6"/>
  <c r="P10" i="6"/>
  <c r="P8" i="6"/>
  <c r="P15" i="6"/>
  <c r="P12" i="6"/>
  <c r="P27" i="6"/>
  <c r="P26" i="6"/>
  <c r="P18" i="6"/>
  <c r="P24" i="6"/>
  <c r="P22" i="6"/>
  <c r="P20" i="6"/>
  <c r="O21" i="6"/>
  <c r="O19" i="6"/>
  <c r="O17" i="6"/>
  <c r="O16" i="6"/>
  <c r="O25" i="6"/>
  <c r="O23" i="6"/>
  <c r="O14" i="6"/>
  <c r="O13" i="6"/>
  <c r="O10" i="6"/>
  <c r="O8" i="6"/>
  <c r="O15" i="6"/>
  <c r="O12" i="6"/>
  <c r="O27" i="6"/>
  <c r="O26" i="6"/>
  <c r="O18" i="6"/>
  <c r="O24" i="6"/>
  <c r="O22" i="6"/>
  <c r="O20" i="6"/>
  <c r="M21" i="6"/>
  <c r="M19" i="6"/>
  <c r="M17" i="6"/>
  <c r="M16" i="6"/>
  <c r="M25" i="6"/>
  <c r="M23" i="6"/>
  <c r="M14" i="6"/>
  <c r="M13" i="6"/>
  <c r="M10" i="6"/>
  <c r="M8" i="6"/>
  <c r="M15" i="6"/>
  <c r="M12" i="6"/>
  <c r="M27" i="6"/>
  <c r="M26" i="6"/>
  <c r="M18" i="6"/>
  <c r="M24" i="6"/>
  <c r="M22" i="6"/>
  <c r="M20" i="6"/>
  <c r="L21" i="6"/>
  <c r="L19" i="6"/>
  <c r="L17" i="6"/>
  <c r="L16" i="6"/>
  <c r="L25" i="6"/>
  <c r="L23" i="6"/>
  <c r="L14" i="6"/>
  <c r="L13" i="6"/>
  <c r="L10" i="6"/>
  <c r="L8" i="6"/>
  <c r="L15" i="6"/>
  <c r="L12" i="6"/>
  <c r="L27" i="6"/>
  <c r="L26" i="6"/>
  <c r="L18" i="6"/>
  <c r="L24" i="6"/>
  <c r="L22" i="6"/>
  <c r="L20" i="6"/>
  <c r="K21" i="6"/>
  <c r="K19" i="6"/>
  <c r="K17" i="6"/>
  <c r="K16" i="6"/>
  <c r="K25" i="6"/>
  <c r="K23" i="6"/>
  <c r="K14" i="6"/>
  <c r="K13" i="6"/>
  <c r="K10" i="6"/>
  <c r="K8" i="6"/>
  <c r="K15" i="6"/>
  <c r="K12" i="6"/>
  <c r="K27" i="6"/>
  <c r="K26" i="6"/>
  <c r="K18" i="6"/>
  <c r="K24" i="6"/>
  <c r="K22" i="6"/>
  <c r="K20" i="6"/>
  <c r="I21" i="6"/>
  <c r="I19" i="6"/>
  <c r="I17" i="6"/>
  <c r="I16" i="6"/>
  <c r="I25" i="6"/>
  <c r="I23" i="6"/>
  <c r="I14" i="6"/>
  <c r="I13" i="6"/>
  <c r="I10" i="6"/>
  <c r="I8" i="6"/>
  <c r="I15" i="6"/>
  <c r="I12" i="6"/>
  <c r="I27" i="6"/>
  <c r="I26" i="6"/>
  <c r="I18" i="6"/>
  <c r="I24" i="6"/>
  <c r="I22" i="6"/>
  <c r="I20" i="6"/>
  <c r="H21" i="6"/>
  <c r="H19" i="6"/>
  <c r="H17" i="6"/>
  <c r="H16" i="6"/>
  <c r="H25" i="6"/>
  <c r="H23" i="6"/>
  <c r="H14" i="6"/>
  <c r="H13" i="6"/>
  <c r="H10" i="6"/>
  <c r="H8" i="6"/>
  <c r="H15" i="6"/>
  <c r="H12" i="6"/>
  <c r="H27" i="6"/>
  <c r="H26" i="6"/>
  <c r="H18" i="6"/>
  <c r="H24" i="6"/>
  <c r="H22" i="6"/>
  <c r="H20" i="6"/>
  <c r="G21" i="6"/>
  <c r="G19" i="6"/>
  <c r="G17" i="6"/>
  <c r="G16" i="6"/>
  <c r="G25" i="6"/>
  <c r="G23" i="6"/>
  <c r="G14" i="6"/>
  <c r="G13" i="6"/>
  <c r="G10" i="6"/>
  <c r="G8" i="6"/>
  <c r="G15" i="6"/>
  <c r="G12" i="6"/>
  <c r="G27" i="6"/>
  <c r="G26" i="6"/>
  <c r="G18" i="6"/>
  <c r="G24" i="6"/>
  <c r="G22" i="6"/>
  <c r="G20" i="6"/>
</calcChain>
</file>

<file path=xl/sharedStrings.xml><?xml version="1.0" encoding="utf-8"?>
<sst xmlns="http://schemas.openxmlformats.org/spreadsheetml/2006/main" count="1779" uniqueCount="87">
  <si>
    <t>Analyser - resultatside</t>
  </si>
  <si>
    <t>ID, Navn</t>
  </si>
  <si>
    <t>E-mrk før</t>
  </si>
  <si>
    <t>kWh/m2</t>
  </si>
  <si>
    <t>E-mrk efter</t>
  </si>
  <si>
    <t>Varme</t>
  </si>
  <si>
    <t>El</t>
  </si>
  <si>
    <t>Energibesparelse 22</t>
  </si>
  <si>
    <t>Økonomi</t>
  </si>
  <si>
    <t>Anlæg</t>
  </si>
  <si>
    <t>C</t>
  </si>
  <si>
    <t>A</t>
  </si>
  <si>
    <t>Kommentarer</t>
  </si>
  <si>
    <t>Kun tiltag med positiv nutidsværdi</t>
  </si>
  <si>
    <t>Fuld renoveringspakke</t>
  </si>
  <si>
    <t>Forudsætninger for total økonomi - ENS for hver gruppe (1% forrentning - 1,5% inflation)</t>
  </si>
  <si>
    <t>Ved energipris med 1 og 2 % stigning/år- prisstigning udgifter 1 %</t>
  </si>
  <si>
    <t>Byggeplads 8%, Uforudseelige udgifter 10%, Rådgiver 9%</t>
  </si>
  <si>
    <t>D</t>
  </si>
  <si>
    <t>A (2%), Etagebolig 1965 (beton)</t>
  </si>
  <si>
    <t>B (2%), Etagebolig 1965 (beton)</t>
  </si>
  <si>
    <t>C (2%), Etagebolig 1965 (beton)</t>
  </si>
  <si>
    <t>Energibesparelse 23</t>
  </si>
  <si>
    <t>A (1%), Etagebolig 1965 (beton)</t>
  </si>
  <si>
    <t>B (1%), Etagebolig 1965 (beton)</t>
  </si>
  <si>
    <t>C (1%), Etagebolig 1965 (beton)</t>
  </si>
  <si>
    <t>Teknisk isolering, loftisolering, vinduesudskiftning, mekanisk ventilation og solceller</t>
  </si>
  <si>
    <t>A (1%), Parcelhus 1970</t>
  </si>
  <si>
    <t>A (2%), Parcelhus 1970</t>
  </si>
  <si>
    <t>B (1%), Parcelhus 1970</t>
  </si>
  <si>
    <t>B (2%), Parcelhus 1970</t>
  </si>
  <si>
    <t>Energibesparelse 21</t>
  </si>
  <si>
    <t>E</t>
  </si>
  <si>
    <t>Varmepumpekonvertering, loftisolering, vinduesudskiftning og mekanisk ventilation</t>
  </si>
  <si>
    <t>A (2%), Daginstitution2 1970</t>
  </si>
  <si>
    <t>B (1%), Daginstitution2 1970</t>
  </si>
  <si>
    <t>B (2%), Daginstitution2 1970</t>
  </si>
  <si>
    <t>A (1%), Daginstitution2 1970</t>
  </si>
  <si>
    <t>F</t>
  </si>
  <si>
    <t>A (1%), Murermesterhus 1925</t>
  </si>
  <si>
    <t>A (2%), Murermesterhus 1925</t>
  </si>
  <si>
    <t>A (1%), Forbedret murermesterhus 1925</t>
  </si>
  <si>
    <t>A (2%), Forbedret murermesterhus 1925</t>
  </si>
  <si>
    <t>G</t>
  </si>
  <si>
    <t>A (1%), Kontorbyggeri 1970</t>
  </si>
  <si>
    <t>A (2%), Kontorbyggeri 1970</t>
  </si>
  <si>
    <t>Fuld renoveringspakke ekskl. vinduesudskiftning</t>
  </si>
  <si>
    <t>B (1%), Kontorbyggeri 1970</t>
  </si>
  <si>
    <t>B (2%), Kontorbyggeri 1970</t>
  </si>
  <si>
    <t>Energibesparelse 20</t>
  </si>
  <si>
    <t>A (1%), Etagebolig 1940 (muret)</t>
  </si>
  <si>
    <t>A (2%), Etagebolig 1940 (muret)</t>
  </si>
  <si>
    <t>B (1%), Etagebolig 1940 (muret)</t>
  </si>
  <si>
    <t>B (2%), Etagebolig 1940 (muret)</t>
  </si>
  <si>
    <t>C (1%), Etagebolig 1940 (muret)</t>
  </si>
  <si>
    <t>C (2%), Etagebolig 1940 (muret)</t>
  </si>
  <si>
    <t>A (1%), Daginstitution 1970</t>
  </si>
  <si>
    <t>A (2%), Daginstitution 1970</t>
  </si>
  <si>
    <t>B (1%), Daginstitution 1970</t>
  </si>
  <si>
    <t>B (2%), Daginstitution 1970</t>
  </si>
  <si>
    <t>B</t>
  </si>
  <si>
    <t>Teknisk isolering, kælderloft, loftisolering, vinduesudskiftning og mekanisk ventilation</t>
  </si>
  <si>
    <t>Komfortpakke</t>
  </si>
  <si>
    <t>Økonomipakke</t>
  </si>
  <si>
    <t>Lavenergi- pg komfortpakke</t>
  </si>
  <si>
    <t>Lavenergi- og komfortpakke</t>
  </si>
  <si>
    <t>Ydervægstiltag medtages ikke som tiltag</t>
  </si>
  <si>
    <t>B (1%), Forbedret murermesterhus 1925</t>
  </si>
  <si>
    <t>B (2%), Forbedret murermesterhus 1925</t>
  </si>
  <si>
    <t>B (1%), Murermesterhus 1925</t>
  </si>
  <si>
    <t>B (2%), Murermesterhus 1925</t>
  </si>
  <si>
    <t>Fuld renoveringspakke m. varmepumpe</t>
  </si>
  <si>
    <t>Fuld renoveringspakke m. fjernvarme</t>
  </si>
  <si>
    <t>Økonomipakke/Komfortpakke</t>
  </si>
  <si>
    <t>GWP etablering</t>
  </si>
  <si>
    <t>GWP drift</t>
  </si>
  <si>
    <t>GWP TBT</t>
  </si>
  <si>
    <t>TBT</t>
  </si>
  <si>
    <t>Nutidsværdi</t>
  </si>
  <si>
    <t>Økonomipakke/komfortpakke</t>
  </si>
  <si>
    <t>21°C</t>
  </si>
  <si>
    <t>22°C</t>
  </si>
  <si>
    <t>Areal</t>
  </si>
  <si>
    <t>m2</t>
  </si>
  <si>
    <t>kr./m2</t>
  </si>
  <si>
    <t>kg. CO2-ækv./m2</t>
  </si>
  <si>
    <t>Forudsætninger for totaløkonomi - ENS for hver gruppe (1% forrentning - 1,5% inflation - energipris 2,0 % stigning/år - prisstigning udgifter 1,0 % - byggeplads 8% - uforudseelige udgifter 10% - rådgiver 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</si>
</sst>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DashDotDot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165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3" fontId="0" fillId="0" borderId="2" xfId="0" applyNumberFormat="1" applyBorder="1"/>
    <xf numFmtId="165" fontId="0" fillId="0" borderId="2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3" xfId="0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Fill="1" applyBorder="1"/>
    <xf numFmtId="165" fontId="0" fillId="0" borderId="0" xfId="0" applyNumberFormat="1" applyAlignment="1"/>
    <xf numFmtId="165" fontId="0" fillId="0" borderId="1" xfId="0" applyNumberFormat="1" applyBorder="1" applyAlignment="1"/>
    <xf numFmtId="165" fontId="0" fillId="0" borderId="2" xfId="0" applyNumberFormat="1" applyBorder="1" applyAlignment="1"/>
    <xf numFmtId="165" fontId="0" fillId="0" borderId="0" xfId="0" applyNumberFormat="1" applyFill="1" applyBorder="1" applyAlignment="1"/>
    <xf numFmtId="165" fontId="0" fillId="0" borderId="0" xfId="0" applyNumberForma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top"/>
    </xf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vertical="center" wrapText="1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3" fontId="0" fillId="0" borderId="10" xfId="0" applyNumberFormat="1" applyBorder="1"/>
    <xf numFmtId="165" fontId="0" fillId="0" borderId="10" xfId="0" applyNumberFormat="1" applyBorder="1"/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64" fontId="0" fillId="0" borderId="10" xfId="0" applyNumberFormat="1" applyBorder="1"/>
    <xf numFmtId="165" fontId="0" fillId="0" borderId="0" xfId="0" applyNumberFormat="1" applyBorder="1" applyAlignment="1"/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0" xfId="0" applyFill="1" applyBorder="1"/>
    <xf numFmtId="165" fontId="0" fillId="0" borderId="10" xfId="0" applyNumberFormat="1" applyBorder="1" applyAlignment="1"/>
    <xf numFmtId="165" fontId="0" fillId="0" borderId="10" xfId="0" applyNumberFormat="1" applyFill="1" applyBorder="1" applyAlignment="1"/>
    <xf numFmtId="165" fontId="0" fillId="0" borderId="10" xfId="0" applyNumberFormat="1" applyFill="1" applyBorder="1"/>
    <xf numFmtId="3" fontId="0" fillId="2" borderId="0" xfId="0" applyNumberFormat="1" applyFill="1" applyBorder="1"/>
    <xf numFmtId="3" fontId="0" fillId="2" borderId="10" xfId="0" applyNumberFormat="1" applyFill="1" applyBorder="1"/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0" xfId="0" applyFill="1" applyBorder="1"/>
    <xf numFmtId="0" fontId="0" fillId="2" borderId="10" xfId="0" applyFill="1" applyBorder="1"/>
    <xf numFmtId="165" fontId="0" fillId="2" borderId="0" xfId="0" applyNumberFormat="1" applyFill="1" applyBorder="1"/>
    <xf numFmtId="165" fontId="0" fillId="2" borderId="10" xfId="0" applyNumberFormat="1" applyFill="1" applyBorder="1"/>
    <xf numFmtId="164" fontId="0" fillId="2" borderId="0" xfId="0" applyNumberFormat="1" applyFill="1" applyBorder="1"/>
    <xf numFmtId="164" fontId="0" fillId="2" borderId="10" xfId="0" applyNumberFormat="1" applyFill="1" applyBorder="1"/>
    <xf numFmtId="0" fontId="0" fillId="0" borderId="5" xfId="0" applyFill="1" applyBorder="1"/>
    <xf numFmtId="0" fontId="0" fillId="0" borderId="0" xfId="0" applyFill="1"/>
    <xf numFmtId="0" fontId="0" fillId="0" borderId="3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164" fontId="0" fillId="0" borderId="0" xfId="0" applyNumberFormat="1" applyFill="1" applyBorder="1"/>
    <xf numFmtId="0" fontId="0" fillId="0" borderId="0" xfId="0" applyFill="1" applyBorder="1" applyAlignment="1">
      <alignment horizontal="center" vertical="top"/>
    </xf>
    <xf numFmtId="3" fontId="0" fillId="0" borderId="5" xfId="0" applyNumberFormat="1" applyBorder="1"/>
    <xf numFmtId="165" fontId="0" fillId="0" borderId="5" xfId="0" applyNumberFormat="1" applyBorder="1" applyAlignment="1"/>
    <xf numFmtId="164" fontId="0" fillId="0" borderId="5" xfId="0" applyNumberFormat="1" applyBorder="1"/>
    <xf numFmtId="3" fontId="0" fillId="2" borderId="5" xfId="0" applyNumberFormat="1" applyFill="1" applyBorder="1"/>
    <xf numFmtId="165" fontId="0" fillId="0" borderId="5" xfId="0" applyNumberFormat="1" applyBorder="1"/>
    <xf numFmtId="0" fontId="0" fillId="0" borderId="5" xfId="0" applyBorder="1" applyAlignment="1">
      <alignment vertical="center" wrapText="1"/>
    </xf>
    <xf numFmtId="3" fontId="0" fillId="0" borderId="5" xfId="0" applyNumberFormat="1" applyFill="1" applyBorder="1"/>
    <xf numFmtId="3" fontId="0" fillId="0" borderId="10" xfId="0" applyNumberForma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165" fontId="0" fillId="0" borderId="13" xfId="0" applyNumberFormat="1" applyBorder="1"/>
    <xf numFmtId="165" fontId="0" fillId="0" borderId="5" xfId="0" applyNumberFormat="1" applyFill="1" applyBorder="1"/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5" fontId="0" fillId="0" borderId="5" xfId="0" applyNumberFormat="1" applyFill="1" applyBorder="1" applyAlignment="1"/>
    <xf numFmtId="165" fontId="0" fillId="0" borderId="12" xfId="0" applyNumberFormat="1" applyBorder="1"/>
    <xf numFmtId="165" fontId="0" fillId="0" borderId="14" xfId="0" applyNumberFormat="1" applyBorder="1"/>
    <xf numFmtId="0" fontId="0" fillId="0" borderId="12" xfId="0" applyFill="1" applyBorder="1"/>
    <xf numFmtId="0" fontId="0" fillId="0" borderId="10" xfId="0" applyBorder="1" applyAlignment="1">
      <alignment horizontal="left" vertical="center" wrapText="1"/>
    </xf>
    <xf numFmtId="165" fontId="0" fillId="2" borderId="5" xfId="0" applyNumberFormat="1" applyFill="1" applyBorder="1"/>
    <xf numFmtId="164" fontId="0" fillId="2" borderId="5" xfId="0" applyNumberFormat="1" applyFill="1" applyBorder="1"/>
    <xf numFmtId="0" fontId="0" fillId="0" borderId="13" xfId="0" applyFill="1" applyBorder="1"/>
    <xf numFmtId="164" fontId="0" fillId="0" borderId="10" xfId="0" applyNumberFormat="1" applyFill="1" applyBorder="1"/>
    <xf numFmtId="164" fontId="0" fillId="0" borderId="5" xfId="0" applyNumberFormat="1" applyFill="1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1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/>
    <xf numFmtId="3" fontId="2" fillId="0" borderId="0" xfId="0" applyNumberFormat="1" applyFont="1" applyBorder="1"/>
    <xf numFmtId="165" fontId="2" fillId="0" borderId="0" xfId="0" applyNumberFormat="1" applyFont="1" applyBorder="1"/>
    <xf numFmtId="3" fontId="2" fillId="2" borderId="0" xfId="0" applyNumberFormat="1" applyFont="1" applyFill="1" applyBorder="1"/>
    <xf numFmtId="165" fontId="2" fillId="0" borderId="13" xfId="0" applyNumberFormat="1" applyFont="1" applyBorder="1"/>
    <xf numFmtId="165" fontId="2" fillId="2" borderId="0" xfId="0" applyNumberFormat="1" applyFont="1" applyFill="1" applyBorder="1"/>
    <xf numFmtId="3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AC78"/>
  <sheetViews>
    <sheetView tabSelected="1" topLeftCell="A16" zoomScale="80" zoomScaleNormal="80" workbookViewId="0">
      <pane xSplit="1" topLeftCell="B1" activePane="topRight" state="frozen"/>
      <selection pane="topRight" activeCell="P33" sqref="P33"/>
    </sheetView>
  </sheetViews>
  <sheetFormatPr defaultRowHeight="12.6" x14ac:dyDescent="0.2"/>
  <cols>
    <col min="1" max="1" width="36.08984375" customWidth="1"/>
    <col min="2" max="2" width="7.6328125" customWidth="1"/>
    <col min="3" max="3" width="4.26953125" customWidth="1"/>
    <col min="5" max="5" width="4.453125" customWidth="1"/>
    <col min="7" max="7" width="10.90625" hidden="1" customWidth="1"/>
    <col min="8" max="8" width="8.26953125" hidden="1" customWidth="1"/>
    <col min="9" max="9" width="11.6328125" customWidth="1"/>
    <col min="10" max="10" width="4.453125" hidden="1" customWidth="1"/>
    <col min="11" max="11" width="12.36328125" hidden="1" customWidth="1"/>
    <col min="12" max="12" width="15" hidden="1" customWidth="1"/>
    <col min="13" max="13" width="9.453125" hidden="1" customWidth="1"/>
    <col min="14" max="14" width="9.36328125" hidden="1" customWidth="1"/>
    <col min="15" max="15" width="10.36328125" customWidth="1"/>
    <col min="16" max="16" width="8.453125" customWidth="1"/>
    <col min="17" max="17" width="4.453125" bestFit="1" customWidth="1"/>
    <col min="18" max="18" width="11.90625" customWidth="1"/>
    <col min="19" max="19" width="14.36328125" customWidth="1"/>
    <col min="20" max="20" width="10.08984375" customWidth="1"/>
    <col min="21" max="21" width="9.36328125" customWidth="1"/>
    <col min="22" max="22" width="40.08984375" customWidth="1"/>
    <col min="23" max="23" width="30.90625" customWidth="1"/>
    <col min="26" max="26" width="11" customWidth="1"/>
    <col min="29" max="29" width="10.90625" customWidth="1"/>
  </cols>
  <sheetData>
    <row r="1" spans="1:28" x14ac:dyDescent="0.2">
      <c r="A1" t="s">
        <v>0</v>
      </c>
      <c r="C1" t="s">
        <v>86</v>
      </c>
      <c r="K1" t="s">
        <v>16</v>
      </c>
    </row>
    <row r="3" spans="1:28" x14ac:dyDescent="0.2">
      <c r="A3" s="45" t="s">
        <v>1</v>
      </c>
      <c r="B3" s="119" t="s">
        <v>82</v>
      </c>
      <c r="C3" s="124" t="s">
        <v>2</v>
      </c>
      <c r="D3" s="124"/>
      <c r="E3" s="134" t="s">
        <v>4</v>
      </c>
      <c r="F3" s="134"/>
      <c r="G3" s="135" t="s">
        <v>31</v>
      </c>
      <c r="H3" s="135"/>
      <c r="I3" s="136" t="s">
        <v>8</v>
      </c>
      <c r="J3" s="137" t="s">
        <v>77</v>
      </c>
      <c r="K3" s="135" t="s">
        <v>78</v>
      </c>
      <c r="L3" s="135" t="s">
        <v>74</v>
      </c>
      <c r="M3" s="135" t="s">
        <v>75</v>
      </c>
      <c r="N3" s="138" t="s">
        <v>76</v>
      </c>
      <c r="O3" s="135" t="s">
        <v>7</v>
      </c>
      <c r="P3" s="135"/>
      <c r="Q3" s="137" t="s">
        <v>77</v>
      </c>
      <c r="R3" s="135" t="s">
        <v>78</v>
      </c>
      <c r="S3" s="135" t="s">
        <v>74</v>
      </c>
      <c r="T3" s="135" t="s">
        <v>75</v>
      </c>
      <c r="U3" s="135" t="s">
        <v>76</v>
      </c>
      <c r="V3" s="48" t="s">
        <v>12</v>
      </c>
      <c r="W3" s="48"/>
      <c r="X3" s="51"/>
      <c r="Y3" s="29"/>
      <c r="Z3" s="29"/>
      <c r="AA3" s="29"/>
      <c r="AB3" s="29"/>
    </row>
    <row r="4" spans="1:28" x14ac:dyDescent="0.2">
      <c r="A4" s="52"/>
      <c r="B4" s="29"/>
      <c r="C4" s="29"/>
      <c r="D4" s="29"/>
      <c r="E4" s="139"/>
      <c r="F4" s="139"/>
      <c r="G4" s="139" t="s">
        <v>5</v>
      </c>
      <c r="H4" s="140" t="s">
        <v>6</v>
      </c>
      <c r="I4" s="139" t="s">
        <v>9</v>
      </c>
      <c r="J4" s="141" t="s">
        <v>80</v>
      </c>
      <c r="K4" s="141"/>
      <c r="L4" s="141"/>
      <c r="M4" s="141"/>
      <c r="N4" s="142"/>
      <c r="O4" s="139" t="s">
        <v>5</v>
      </c>
      <c r="P4" s="140" t="s">
        <v>6</v>
      </c>
      <c r="Q4" s="141" t="s">
        <v>81</v>
      </c>
      <c r="R4" s="141"/>
      <c r="S4" s="141"/>
      <c r="T4" s="141"/>
      <c r="U4" s="141"/>
      <c r="V4" s="29"/>
      <c r="W4" s="29"/>
      <c r="X4" s="53"/>
      <c r="Y4" s="29"/>
      <c r="Z4" s="29"/>
      <c r="AA4" s="29"/>
      <c r="AB4" s="29"/>
    </row>
    <row r="5" spans="1:28" hidden="1" x14ac:dyDescent="0.2">
      <c r="A5" s="52"/>
      <c r="B5" s="29"/>
      <c r="C5" s="29"/>
      <c r="D5" s="120"/>
      <c r="E5" s="139"/>
      <c r="F5" s="140"/>
      <c r="G5" s="139"/>
      <c r="H5" s="140"/>
      <c r="I5" s="139"/>
      <c r="J5" s="139"/>
      <c r="K5" s="139"/>
      <c r="L5" s="139"/>
      <c r="M5" s="139"/>
      <c r="N5" s="143"/>
      <c r="O5" s="139"/>
      <c r="P5" s="139"/>
      <c r="Q5" s="139"/>
      <c r="R5" s="139"/>
      <c r="S5" s="139"/>
      <c r="T5" s="139"/>
      <c r="U5" s="139"/>
      <c r="V5" s="29"/>
      <c r="W5" s="29"/>
      <c r="X5" s="53"/>
      <c r="Y5" s="29"/>
      <c r="Z5" s="29"/>
      <c r="AA5" s="29"/>
      <c r="AB5" s="29"/>
    </row>
    <row r="6" spans="1:28" x14ac:dyDescent="0.2">
      <c r="A6" s="52"/>
      <c r="B6" s="120" t="s">
        <v>83</v>
      </c>
      <c r="C6" s="29"/>
      <c r="D6" s="120" t="s">
        <v>3</v>
      </c>
      <c r="E6" s="139"/>
      <c r="F6" s="140" t="s">
        <v>3</v>
      </c>
      <c r="G6" s="139" t="s">
        <v>3</v>
      </c>
      <c r="H6" s="140" t="s">
        <v>3</v>
      </c>
      <c r="I6" s="139" t="s">
        <v>84</v>
      </c>
      <c r="J6" s="139"/>
      <c r="K6" s="144" t="s">
        <v>84</v>
      </c>
      <c r="L6" s="145" t="s">
        <v>85</v>
      </c>
      <c r="M6" s="145"/>
      <c r="N6" s="143"/>
      <c r="O6" s="139" t="s">
        <v>3</v>
      </c>
      <c r="P6" s="139" t="s">
        <v>3</v>
      </c>
      <c r="Q6" s="139"/>
      <c r="R6" s="139" t="s">
        <v>84</v>
      </c>
      <c r="S6" s="145" t="s">
        <v>85</v>
      </c>
      <c r="T6" s="145"/>
      <c r="U6" s="139"/>
      <c r="V6" s="29"/>
      <c r="W6" s="29"/>
      <c r="X6" s="53"/>
      <c r="Y6" s="29"/>
      <c r="Z6" s="29"/>
      <c r="AA6" s="29"/>
      <c r="AB6" s="29"/>
    </row>
    <row r="7" spans="1:28" ht="12.75" hidden="1" customHeight="1" x14ac:dyDescent="0.2">
      <c r="A7" s="52"/>
      <c r="B7" s="29"/>
      <c r="C7" s="120"/>
      <c r="D7" s="29"/>
      <c r="E7" s="120"/>
      <c r="F7" s="29"/>
      <c r="G7" s="29"/>
      <c r="H7" s="29"/>
      <c r="I7" s="31"/>
      <c r="J7" s="29"/>
      <c r="K7" s="31"/>
      <c r="L7" s="33"/>
      <c r="M7" s="33"/>
      <c r="N7" s="102"/>
      <c r="O7" s="29"/>
      <c r="P7" s="29"/>
      <c r="Q7" s="29"/>
      <c r="R7" s="31"/>
      <c r="S7" s="33"/>
      <c r="T7" s="33"/>
      <c r="U7" s="33"/>
      <c r="V7" s="29"/>
      <c r="W7" s="72"/>
      <c r="X7" s="53"/>
      <c r="Y7" s="72"/>
      <c r="Z7" s="72"/>
      <c r="AA7" s="29"/>
      <c r="AB7" s="29"/>
    </row>
    <row r="8" spans="1:28" ht="25.5" customHeight="1" x14ac:dyDescent="0.2">
      <c r="A8" s="52" t="s">
        <v>53</v>
      </c>
      <c r="B8" s="29">
        <v>3300</v>
      </c>
      <c r="C8" s="120" t="s">
        <v>18</v>
      </c>
      <c r="D8" s="29">
        <v>141</v>
      </c>
      <c r="E8" s="120" t="s">
        <v>10</v>
      </c>
      <c r="F8" s="29">
        <v>93</v>
      </c>
      <c r="G8" s="33">
        <f>214.5/B8*1000</f>
        <v>65</v>
      </c>
      <c r="H8" s="33">
        <f>9.3/B8*1000</f>
        <v>2.8181818181818183</v>
      </c>
      <c r="I8" s="70">
        <f>1602000/B8</f>
        <v>485.45454545454544</v>
      </c>
      <c r="J8" s="29">
        <v>13</v>
      </c>
      <c r="K8" s="31">
        <f>1402000/B8</f>
        <v>424.84848484848487</v>
      </c>
      <c r="L8" s="63">
        <f>37.1/B8*1000</f>
        <v>11.242424242424242</v>
      </c>
      <c r="M8" s="63">
        <f>54.5/B8*1000</f>
        <v>16.515151515151516</v>
      </c>
      <c r="N8" s="102">
        <v>0.7</v>
      </c>
      <c r="O8" s="33">
        <f>180.1/B8*1000</f>
        <v>54.575757575757578</v>
      </c>
      <c r="P8" s="33">
        <f>9.3/B8*1000</f>
        <v>2.8181818181818183</v>
      </c>
      <c r="Q8" s="31">
        <v>14</v>
      </c>
      <c r="R8" s="36">
        <f>1304000/B8</f>
        <v>395.15151515151513</v>
      </c>
      <c r="S8" s="33">
        <f>37.1/B8*1000</f>
        <v>11.242424242424242</v>
      </c>
      <c r="T8" s="33">
        <f>46.7/B8*1000</f>
        <v>14.151515151515152</v>
      </c>
      <c r="U8" s="33">
        <v>0.8</v>
      </c>
      <c r="V8" s="34" t="s">
        <v>13</v>
      </c>
      <c r="W8" s="29" t="s">
        <v>63</v>
      </c>
      <c r="X8" s="53"/>
      <c r="Y8" s="72"/>
      <c r="Z8" s="72"/>
      <c r="AA8" s="29"/>
      <c r="AB8" s="29"/>
    </row>
    <row r="9" spans="1:28" ht="12.75" hidden="1" customHeight="1" x14ac:dyDescent="0.2">
      <c r="A9" s="52"/>
      <c r="B9" s="29"/>
      <c r="C9" s="120"/>
      <c r="D9" s="29"/>
      <c r="E9" s="120"/>
      <c r="F9" s="29"/>
      <c r="G9" s="33"/>
      <c r="H9" s="33"/>
      <c r="I9" s="70"/>
      <c r="J9" s="29"/>
      <c r="K9" s="31"/>
      <c r="L9" s="33"/>
      <c r="M9" s="33"/>
      <c r="N9" s="102"/>
      <c r="O9" s="33"/>
      <c r="P9" s="33"/>
      <c r="Q9" s="31"/>
      <c r="R9" s="36"/>
      <c r="S9" s="33"/>
      <c r="T9" s="33"/>
      <c r="U9" s="33"/>
      <c r="V9" s="29"/>
      <c r="W9" s="29"/>
      <c r="X9" s="53"/>
      <c r="Y9" s="72"/>
      <c r="Z9" s="72"/>
      <c r="AA9" s="29"/>
      <c r="AB9" s="29"/>
    </row>
    <row r="10" spans="1:28" ht="25.5" customHeight="1" x14ac:dyDescent="0.2">
      <c r="A10" s="52" t="s">
        <v>20</v>
      </c>
      <c r="B10" s="29">
        <v>1980</v>
      </c>
      <c r="C10" s="120" t="s">
        <v>18</v>
      </c>
      <c r="D10" s="29">
        <v>139</v>
      </c>
      <c r="E10" s="120" t="s">
        <v>10</v>
      </c>
      <c r="F10" s="29">
        <v>94</v>
      </c>
      <c r="G10" s="33">
        <f>84.6/B10*1000</f>
        <v>42.727272727272727</v>
      </c>
      <c r="H10" s="33">
        <f>9.3/B10*1000</f>
        <v>4.6969696969696981</v>
      </c>
      <c r="I10" s="70">
        <f>1989000/B10</f>
        <v>1004.5454545454545</v>
      </c>
      <c r="J10" s="29">
        <v>28</v>
      </c>
      <c r="K10" s="31">
        <f>384000/B10</f>
        <v>193.93939393939394</v>
      </c>
      <c r="L10" s="33">
        <f>47.3/B10*1000</f>
        <v>23.888888888888886</v>
      </c>
      <c r="M10" s="33">
        <f>25/B10*1000</f>
        <v>12.626262626262626</v>
      </c>
      <c r="N10" s="102">
        <v>1.9</v>
      </c>
      <c r="O10" s="33">
        <f>63.5/B10*1000</f>
        <v>32.070707070707066</v>
      </c>
      <c r="P10" s="33">
        <f>9.3/B10*1000</f>
        <v>4.6969696969696981</v>
      </c>
      <c r="Q10" s="31">
        <v>29</v>
      </c>
      <c r="R10" s="36">
        <f>347000/B10</f>
        <v>175.25252525252526</v>
      </c>
      <c r="S10" s="33">
        <f>47.3/B10*1000</f>
        <v>23.888888888888886</v>
      </c>
      <c r="T10" s="33">
        <f>20.2/B10*1000</f>
        <v>10.202020202020202</v>
      </c>
      <c r="U10" s="33">
        <v>2.2999999999999998</v>
      </c>
      <c r="V10" s="34" t="s">
        <v>13</v>
      </c>
      <c r="W10" s="29" t="s">
        <v>63</v>
      </c>
      <c r="X10" s="53"/>
      <c r="Y10" s="72"/>
      <c r="Z10" s="72"/>
      <c r="AA10" s="29"/>
      <c r="AB10" s="29"/>
    </row>
    <row r="11" spans="1:28" ht="12.75" hidden="1" customHeight="1" x14ac:dyDescent="0.2">
      <c r="A11" s="52"/>
      <c r="B11" s="29"/>
      <c r="C11" s="120"/>
      <c r="D11" s="29"/>
      <c r="E11" s="120"/>
      <c r="F11" s="29"/>
      <c r="G11" s="33"/>
      <c r="H11" s="33"/>
      <c r="I11" s="70"/>
      <c r="J11" s="29"/>
      <c r="K11" s="31"/>
      <c r="L11" s="33"/>
      <c r="M11" s="33"/>
      <c r="N11" s="102"/>
      <c r="O11" s="33"/>
      <c r="P11" s="33"/>
      <c r="Q11" s="31"/>
      <c r="R11" s="36"/>
      <c r="S11" s="33"/>
      <c r="T11" s="33"/>
      <c r="U11" s="33"/>
      <c r="V11" s="29"/>
      <c r="W11" s="29"/>
      <c r="X11" s="53"/>
      <c r="Y11" s="72"/>
      <c r="Z11" s="72"/>
      <c r="AA11" s="29"/>
      <c r="AB11" s="29"/>
    </row>
    <row r="12" spans="1:28" ht="25.5" customHeight="1" x14ac:dyDescent="0.2">
      <c r="A12" s="55" t="s">
        <v>48</v>
      </c>
      <c r="B12" s="57">
        <v>1525</v>
      </c>
      <c r="C12" s="56" t="s">
        <v>38</v>
      </c>
      <c r="D12" s="57">
        <v>220</v>
      </c>
      <c r="E12" s="56" t="s">
        <v>10</v>
      </c>
      <c r="F12" s="57">
        <v>128</v>
      </c>
      <c r="G12" s="59">
        <f>143.2/B12*1000</f>
        <v>93.901639344262293</v>
      </c>
      <c r="H12" s="59">
        <f>14.5/B12*1000</f>
        <v>9.5081967213114762</v>
      </c>
      <c r="I12" s="71">
        <f>1617000/B12</f>
        <v>1060.327868852459</v>
      </c>
      <c r="J12" s="57">
        <v>14</v>
      </c>
      <c r="K12" s="100">
        <f>520000/B12</f>
        <v>340.98360655737707</v>
      </c>
      <c r="L12" s="62">
        <f>45/B12*1000</f>
        <v>29.508196721311478</v>
      </c>
      <c r="M12" s="62">
        <f>41.5/B12*1000</f>
        <v>27.21311475409836</v>
      </c>
      <c r="N12" s="111">
        <v>1.1000000000000001</v>
      </c>
      <c r="O12" s="59">
        <f>120/B12*1000</f>
        <v>78.688524590163937</v>
      </c>
      <c r="P12" s="59">
        <f>14.5/B12*1000</f>
        <v>9.5081967213114762</v>
      </c>
      <c r="Q12" s="57">
        <v>14</v>
      </c>
      <c r="R12" s="100">
        <f>505000/B12</f>
        <v>331.14754098360658</v>
      </c>
      <c r="S12" s="62">
        <f>45/B12*1000</f>
        <v>29.508196721311478</v>
      </c>
      <c r="T12" s="62">
        <f>36.3/B12*1000</f>
        <v>23.803278688524589</v>
      </c>
      <c r="U12" s="59">
        <v>1.2</v>
      </c>
      <c r="V12" s="60" t="s">
        <v>46</v>
      </c>
      <c r="W12" s="29" t="s">
        <v>63</v>
      </c>
      <c r="X12" s="65"/>
      <c r="Y12" s="72"/>
      <c r="Z12" s="72"/>
      <c r="AA12" s="29"/>
      <c r="AB12" s="29"/>
    </row>
    <row r="13" spans="1:28" ht="25.5" customHeight="1" x14ac:dyDescent="0.2">
      <c r="A13" s="45" t="s">
        <v>21</v>
      </c>
      <c r="B13" s="48">
        <v>1980</v>
      </c>
      <c r="C13" s="119" t="s">
        <v>18</v>
      </c>
      <c r="D13" s="48">
        <v>139</v>
      </c>
      <c r="E13" s="119" t="s">
        <v>10</v>
      </c>
      <c r="F13" s="48">
        <v>83</v>
      </c>
      <c r="G13" s="97">
        <f>114.6/B13*1000</f>
        <v>57.878787878787875</v>
      </c>
      <c r="H13" s="97">
        <f>10.4/B13*1000</f>
        <v>5.2525252525252526</v>
      </c>
      <c r="I13" s="96">
        <f>2661000/B13</f>
        <v>1343.939393939394</v>
      </c>
      <c r="J13" s="48">
        <v>28</v>
      </c>
      <c r="K13" s="93">
        <f>-14000/B13</f>
        <v>-7.0707070707070709</v>
      </c>
      <c r="L13" s="97">
        <f>39/B13*1000</f>
        <v>19.696969696969695</v>
      </c>
      <c r="M13" s="97">
        <f>32.5/B13*1000</f>
        <v>16.414141414141415</v>
      </c>
      <c r="N13" s="101">
        <v>1.2</v>
      </c>
      <c r="O13" s="97">
        <f>96.4/B13*1000</f>
        <v>48.686868686868685</v>
      </c>
      <c r="P13" s="97">
        <f>10.4/B13*1000</f>
        <v>5.2525252525252526</v>
      </c>
      <c r="Q13" s="93">
        <v>29</v>
      </c>
      <c r="R13" s="99">
        <f>-36000/B13</f>
        <v>-18.181818181818183</v>
      </c>
      <c r="S13" s="97">
        <f>39/B13*1000</f>
        <v>19.696969696969695</v>
      </c>
      <c r="T13" s="97">
        <f>28.4/B13*1000</f>
        <v>14.343434343434343</v>
      </c>
      <c r="U13" s="97">
        <v>1.4</v>
      </c>
      <c r="V13" s="98" t="s">
        <v>26</v>
      </c>
      <c r="W13" s="48" t="s">
        <v>62</v>
      </c>
      <c r="X13" s="51"/>
      <c r="Y13" s="72"/>
      <c r="Z13" s="72"/>
      <c r="AA13" s="29"/>
      <c r="AB13" s="29"/>
    </row>
    <row r="14" spans="1:28" ht="25.5" customHeight="1" x14ac:dyDescent="0.2">
      <c r="A14" s="52" t="s">
        <v>55</v>
      </c>
      <c r="B14" s="29">
        <v>3300</v>
      </c>
      <c r="C14" s="120" t="s">
        <v>18</v>
      </c>
      <c r="D14" s="28">
        <v>141</v>
      </c>
      <c r="E14" s="120" t="s">
        <v>10</v>
      </c>
      <c r="F14" s="28">
        <v>91</v>
      </c>
      <c r="G14" s="33">
        <f>276.2/B14*1000</f>
        <v>83.696969696969703</v>
      </c>
      <c r="H14" s="41">
        <f>-15.6/B14*1000</f>
        <v>-4.7272727272727275</v>
      </c>
      <c r="I14" s="70">
        <f>4836000/B14</f>
        <v>1465.4545454545455</v>
      </c>
      <c r="J14" s="28">
        <v>34</v>
      </c>
      <c r="K14" s="31">
        <f>-1815000/B14</f>
        <v>-550</v>
      </c>
      <c r="L14" s="63">
        <f>35.8/B14*1000</f>
        <v>10.848484848484848</v>
      </c>
      <c r="M14" s="40">
        <f>53/B14*1000</f>
        <v>16.060606060606059</v>
      </c>
      <c r="N14" s="116">
        <v>0.7</v>
      </c>
      <c r="O14" s="41">
        <f>247.4/B14*1000</f>
        <v>74.969696969696983</v>
      </c>
      <c r="P14" s="33">
        <f>-15.6/B14*1000</f>
        <v>-4.7272727272727275</v>
      </c>
      <c r="Q14" s="31">
        <v>35</v>
      </c>
      <c r="R14" s="36">
        <f>-1869000/B14</f>
        <v>-566.36363636363637</v>
      </c>
      <c r="S14" s="33">
        <f>35.8/B14*1000</f>
        <v>10.848484848484848</v>
      </c>
      <c r="T14" s="33">
        <f>46.5/B14*1000</f>
        <v>14.090909090909092</v>
      </c>
      <c r="U14" s="33">
        <v>0.8</v>
      </c>
      <c r="V14" s="34" t="s">
        <v>61</v>
      </c>
      <c r="W14" s="29" t="s">
        <v>62</v>
      </c>
      <c r="X14" s="53"/>
      <c r="Y14" s="122"/>
      <c r="Z14" s="122"/>
      <c r="AA14" s="29"/>
      <c r="AB14" s="29"/>
    </row>
    <row r="15" spans="1:28" ht="25.5" customHeight="1" x14ac:dyDescent="0.2">
      <c r="A15" s="55" t="s">
        <v>51</v>
      </c>
      <c r="B15" s="66">
        <v>3300</v>
      </c>
      <c r="C15" s="56" t="s">
        <v>18</v>
      </c>
      <c r="D15" s="57">
        <v>141</v>
      </c>
      <c r="E15" s="56" t="s">
        <v>60</v>
      </c>
      <c r="F15" s="57">
        <v>69</v>
      </c>
      <c r="G15" s="59">
        <f>341.9/B15*1000</f>
        <v>103.60606060606061</v>
      </c>
      <c r="H15" s="59">
        <f>-6.2/B15*1000</f>
        <v>-1.8787878787878789</v>
      </c>
      <c r="I15" s="71">
        <f>5851000/B15</f>
        <v>1773.030303030303</v>
      </c>
      <c r="J15" s="57">
        <v>30</v>
      </c>
      <c r="K15" s="58">
        <f>-1521000/B15</f>
        <v>-460.90909090909093</v>
      </c>
      <c r="L15" s="67">
        <f>55.6/B15*1000</f>
        <v>16.848484848484848</v>
      </c>
      <c r="M15" s="67">
        <f>73.7/B15*1000</f>
        <v>22.333333333333332</v>
      </c>
      <c r="N15" s="103">
        <v>0.8</v>
      </c>
      <c r="O15" s="59">
        <f>319.4/B15*1000</f>
        <v>96.787878787878782</v>
      </c>
      <c r="P15" s="59">
        <f>-6.2/B15*1000</f>
        <v>-1.8787878787878789</v>
      </c>
      <c r="Q15" s="57">
        <v>31</v>
      </c>
      <c r="R15" s="100">
        <f>-1650000/B15</f>
        <v>-500</v>
      </c>
      <c r="S15" s="59">
        <f>55.6/B15*1000</f>
        <v>16.848484848484848</v>
      </c>
      <c r="T15" s="59">
        <f>68.6/B15*1000</f>
        <v>20.787878787878785</v>
      </c>
      <c r="U15" s="59">
        <v>0.8</v>
      </c>
      <c r="V15" s="113" t="s">
        <v>14</v>
      </c>
      <c r="W15" s="57" t="s">
        <v>65</v>
      </c>
      <c r="X15" s="65"/>
      <c r="Y15" s="72"/>
      <c r="Z15" s="72"/>
      <c r="AA15" s="29"/>
      <c r="AB15" s="29"/>
    </row>
    <row r="16" spans="1:28" ht="25.5" customHeight="1" x14ac:dyDescent="0.2">
      <c r="A16" s="45" t="s">
        <v>45</v>
      </c>
      <c r="B16" s="48">
        <v>1525</v>
      </c>
      <c r="C16" s="119" t="s">
        <v>38</v>
      </c>
      <c r="D16" s="48">
        <v>220</v>
      </c>
      <c r="E16" s="119" t="s">
        <v>10</v>
      </c>
      <c r="F16" s="48">
        <v>120</v>
      </c>
      <c r="G16" s="97">
        <f>160.6/B16*1000</f>
        <v>105.31147540983605</v>
      </c>
      <c r="H16" s="97">
        <f>14.5/B16*1000</f>
        <v>9.5081967213114762</v>
      </c>
      <c r="I16" s="96">
        <f>2945000/B16</f>
        <v>1931.1475409836066</v>
      </c>
      <c r="J16" s="48">
        <v>23</v>
      </c>
      <c r="K16" s="99">
        <f>3000/B16</f>
        <v>1.9672131147540983</v>
      </c>
      <c r="L16" s="95">
        <f>52/B16*1000</f>
        <v>34.098360655737707</v>
      </c>
      <c r="M16" s="95">
        <f>45.5/B16*1000</f>
        <v>29.83606557377049</v>
      </c>
      <c r="N16" s="101">
        <v>1.1000000000000001</v>
      </c>
      <c r="O16" s="97">
        <f>139.1/B16*1000</f>
        <v>91.213114754098356</v>
      </c>
      <c r="P16" s="97">
        <f>14.5/B16*1000</f>
        <v>9.5081967213114762</v>
      </c>
      <c r="Q16" s="48">
        <v>23</v>
      </c>
      <c r="R16" s="99">
        <f>-24000/B16</f>
        <v>-15.737704918032787</v>
      </c>
      <c r="S16" s="95">
        <f>52/B16*1000</f>
        <v>34.098360655737707</v>
      </c>
      <c r="T16" s="95">
        <f>40.6/B16*1000</f>
        <v>26.622950819672131</v>
      </c>
      <c r="U16" s="48">
        <v>1.3</v>
      </c>
      <c r="V16" s="98" t="s">
        <v>14</v>
      </c>
      <c r="W16" s="48" t="s">
        <v>65</v>
      </c>
      <c r="X16" s="51"/>
      <c r="Y16" s="72"/>
      <c r="Z16" s="72"/>
      <c r="AA16" s="29"/>
      <c r="AB16" s="29"/>
    </row>
    <row r="17" spans="1:29" ht="25.5" customHeight="1" x14ac:dyDescent="0.2">
      <c r="A17" s="55" t="s">
        <v>36</v>
      </c>
      <c r="B17" s="57">
        <v>216</v>
      </c>
      <c r="C17" s="56" t="s">
        <v>38</v>
      </c>
      <c r="D17" s="57">
        <v>282</v>
      </c>
      <c r="E17" s="56" t="s">
        <v>10</v>
      </c>
      <c r="F17" s="57">
        <v>106</v>
      </c>
      <c r="G17" s="59">
        <f>45.8/B17*1000</f>
        <v>212.03703703703701</v>
      </c>
      <c r="H17" s="59">
        <f>2.1/B17*1000</f>
        <v>9.7222222222222232</v>
      </c>
      <c r="I17" s="71">
        <f>469000/B17</f>
        <v>2171.2962962962961</v>
      </c>
      <c r="J17" s="57">
        <v>14</v>
      </c>
      <c r="K17" s="100">
        <f>244000/B17</f>
        <v>1129.6296296296296</v>
      </c>
      <c r="L17" s="62">
        <f>5.8/B17*1000</f>
        <v>26.851851851851851</v>
      </c>
      <c r="M17" s="62">
        <f>11.7/B17*1000</f>
        <v>54.166666666666664</v>
      </c>
      <c r="N17" s="103">
        <v>0.5</v>
      </c>
      <c r="O17" s="59">
        <f>43.8/B17*1000</f>
        <v>202.77777777777774</v>
      </c>
      <c r="P17" s="59">
        <f>2.1/B17*1000</f>
        <v>9.7222222222222232</v>
      </c>
      <c r="Q17" s="57">
        <v>14</v>
      </c>
      <c r="R17" s="100">
        <f>242000/B17</f>
        <v>1120.3703703703704</v>
      </c>
      <c r="S17" s="62">
        <f>5.8/B17*1000</f>
        <v>26.851851851851851</v>
      </c>
      <c r="T17" s="62">
        <f>11.2/B17*1000</f>
        <v>51.851851851851848</v>
      </c>
      <c r="U17" s="57">
        <v>0.5</v>
      </c>
      <c r="V17" s="60" t="s">
        <v>13</v>
      </c>
      <c r="W17" s="57" t="s">
        <v>73</v>
      </c>
      <c r="X17" s="65"/>
      <c r="Y17" s="72"/>
      <c r="Z17" s="72"/>
      <c r="AA17" s="29"/>
      <c r="AB17" s="29"/>
    </row>
    <row r="18" spans="1:29" ht="25.5" customHeight="1" x14ac:dyDescent="0.2">
      <c r="A18" s="45" t="s">
        <v>30</v>
      </c>
      <c r="B18" s="48">
        <v>144</v>
      </c>
      <c r="C18" s="119" t="s">
        <v>32</v>
      </c>
      <c r="D18" s="48">
        <v>202</v>
      </c>
      <c r="E18" s="119" t="s">
        <v>10</v>
      </c>
      <c r="F18" s="48">
        <v>119</v>
      </c>
      <c r="G18" s="97">
        <f>31.7/B18*1000</f>
        <v>220.13888888888889</v>
      </c>
      <c r="H18" s="97">
        <f>-6.7/B18*1000</f>
        <v>-46.527777777777779</v>
      </c>
      <c r="I18" s="96">
        <f>332000/B18</f>
        <v>2305.5555555555557</v>
      </c>
      <c r="J18" s="48">
        <v>14</v>
      </c>
      <c r="K18" s="93">
        <f>185000/B18</f>
        <v>1284.7222222222222</v>
      </c>
      <c r="L18" s="97">
        <f>17.1/B18*1000</f>
        <v>118.75000000000001</v>
      </c>
      <c r="M18" s="97">
        <f>5.2/B18*1000</f>
        <v>36.111111111111114</v>
      </c>
      <c r="N18" s="101">
        <v>3.3</v>
      </c>
      <c r="O18" s="97">
        <f>31.7/B18*1000</f>
        <v>220.13888888888889</v>
      </c>
      <c r="P18" s="97">
        <f>-7.1/B18*1000</f>
        <v>-49.305555555555557</v>
      </c>
      <c r="Q18" s="93">
        <v>14</v>
      </c>
      <c r="R18" s="99">
        <f>176000/B18</f>
        <v>1222.2222222222222</v>
      </c>
      <c r="S18" s="97">
        <f>17.1/B18*1000</f>
        <v>118.75000000000001</v>
      </c>
      <c r="T18" s="97">
        <f>5/B18*1000</f>
        <v>34.722222222222221</v>
      </c>
      <c r="U18" s="97">
        <v>3.4</v>
      </c>
      <c r="V18" s="98" t="s">
        <v>33</v>
      </c>
      <c r="W18" s="48" t="s">
        <v>62</v>
      </c>
      <c r="X18" s="51"/>
      <c r="Y18" s="72"/>
      <c r="Z18" s="72"/>
      <c r="AA18" s="29"/>
      <c r="AB18" s="29"/>
    </row>
    <row r="19" spans="1:29" ht="25.5" customHeight="1" x14ac:dyDescent="0.2">
      <c r="A19" s="52" t="s">
        <v>59</v>
      </c>
      <c r="B19" s="29">
        <v>334</v>
      </c>
      <c r="C19" s="120" t="s">
        <v>32</v>
      </c>
      <c r="D19" s="29">
        <v>220</v>
      </c>
      <c r="E19" s="120" t="s">
        <v>10</v>
      </c>
      <c r="F19" s="29">
        <v>104</v>
      </c>
      <c r="G19" s="33">
        <f>41.2/B19*1000</f>
        <v>123.35329341317366</v>
      </c>
      <c r="H19" s="33">
        <f>3.8/B19*1000</f>
        <v>11.377245508982035</v>
      </c>
      <c r="I19" s="70">
        <f>809000/B19</f>
        <v>2422.1556886227545</v>
      </c>
      <c r="J19" s="29">
        <v>24</v>
      </c>
      <c r="K19" s="36">
        <f>-22000/B19</f>
        <v>-65.868263473053887</v>
      </c>
      <c r="L19" s="33">
        <f>10.9/B19*1000</f>
        <v>32.634730538922156</v>
      </c>
      <c r="M19" s="33">
        <f>11.7/B19*1000</f>
        <v>35.029940119760475</v>
      </c>
      <c r="N19" s="102">
        <v>0.9</v>
      </c>
      <c r="O19" s="33">
        <f>38.6/B19*1000</f>
        <v>115.56886227544911</v>
      </c>
      <c r="P19" s="33">
        <f>3.8/B19*1000</f>
        <v>11.377245508982035</v>
      </c>
      <c r="Q19" s="29">
        <v>24</v>
      </c>
      <c r="R19" s="36">
        <f>-27000/B19</f>
        <v>-80.838323353293418</v>
      </c>
      <c r="S19" s="33">
        <f>10.9/B19*1000</f>
        <v>32.634730538922156</v>
      </c>
      <c r="T19" s="33">
        <f>11.1/B19*1000</f>
        <v>33.23353293413173</v>
      </c>
      <c r="U19" s="29">
        <v>1</v>
      </c>
      <c r="V19" s="34" t="s">
        <v>66</v>
      </c>
      <c r="W19" s="29" t="s">
        <v>62</v>
      </c>
      <c r="X19" s="53"/>
      <c r="Y19" s="122"/>
      <c r="Z19" s="29"/>
      <c r="AA19" s="29"/>
      <c r="AB19" s="29"/>
    </row>
    <row r="20" spans="1:29" ht="25.5" customHeight="1" x14ac:dyDescent="0.2">
      <c r="A20" s="52" t="s">
        <v>68</v>
      </c>
      <c r="B20" s="28">
        <v>140</v>
      </c>
      <c r="C20" s="120" t="s">
        <v>38</v>
      </c>
      <c r="D20" s="29">
        <v>256</v>
      </c>
      <c r="E20" s="120" t="s">
        <v>60</v>
      </c>
      <c r="F20" s="29">
        <v>84</v>
      </c>
      <c r="G20" s="33">
        <f>22.8/B20*1000</f>
        <v>162.85714285714286</v>
      </c>
      <c r="H20" s="33">
        <f>3.4/B20*1000</f>
        <v>24.285714285714285</v>
      </c>
      <c r="I20" s="70">
        <f>396000/B20</f>
        <v>2828.5714285714284</v>
      </c>
      <c r="J20" s="29">
        <v>12</v>
      </c>
      <c r="K20" s="31">
        <f>250000/B20</f>
        <v>1785.7142857142858</v>
      </c>
      <c r="L20" s="41">
        <f>12.5/B20*1000</f>
        <v>89.285714285714292</v>
      </c>
      <c r="M20" s="41">
        <f>10/B20*1000</f>
        <v>71.428571428571431</v>
      </c>
      <c r="N20" s="102">
        <v>1.3</v>
      </c>
      <c r="O20" s="33">
        <f>21.8/B20*1000</f>
        <v>155.71428571428572</v>
      </c>
      <c r="P20" s="33">
        <f>3.4/B20*1000</f>
        <v>24.285714285714285</v>
      </c>
      <c r="Q20" s="31">
        <v>13</v>
      </c>
      <c r="R20" s="36">
        <f>226000/B20</f>
        <v>1614.2857142857142</v>
      </c>
      <c r="S20" s="33">
        <f>12.5/B20*1000</f>
        <v>89.285714285714292</v>
      </c>
      <c r="T20" s="33">
        <f>9.8/B20*1000</f>
        <v>70</v>
      </c>
      <c r="U20" s="33">
        <v>1.3</v>
      </c>
      <c r="V20" s="107" t="s">
        <v>72</v>
      </c>
      <c r="W20" s="29" t="s">
        <v>79</v>
      </c>
      <c r="X20" s="53"/>
      <c r="Y20" s="122"/>
      <c r="Z20" s="29"/>
      <c r="AA20" s="29"/>
      <c r="AB20" s="29"/>
    </row>
    <row r="21" spans="1:29" ht="25.5" customHeight="1" x14ac:dyDescent="0.2">
      <c r="A21" s="55" t="s">
        <v>19</v>
      </c>
      <c r="B21" s="57">
        <v>1980</v>
      </c>
      <c r="C21" s="56" t="s">
        <v>18</v>
      </c>
      <c r="D21" s="57">
        <v>139</v>
      </c>
      <c r="E21" s="56" t="s">
        <v>11</v>
      </c>
      <c r="F21" s="57">
        <v>47</v>
      </c>
      <c r="G21" s="59">
        <f>211.5/B21*1000</f>
        <v>106.81818181818181</v>
      </c>
      <c r="H21" s="59">
        <f>10.4/B21*1000</f>
        <v>5.2525252525252526</v>
      </c>
      <c r="I21" s="71">
        <f>5604000/B21</f>
        <v>2830.3030303030305</v>
      </c>
      <c r="J21" s="57">
        <v>38</v>
      </c>
      <c r="K21" s="58">
        <f>-279000/B21</f>
        <v>-140.90909090909091</v>
      </c>
      <c r="L21" s="59">
        <f>66.4/B21*1000</f>
        <v>33.535353535353536</v>
      </c>
      <c r="M21" s="59">
        <f>54.5/B21*1000</f>
        <v>27.525252525252526</v>
      </c>
      <c r="N21" s="103">
        <v>1.2</v>
      </c>
      <c r="O21" s="59">
        <f>202.7/B21*1000</f>
        <v>102.37373737373737</v>
      </c>
      <c r="P21" s="59">
        <f>10.4/B21*1000</f>
        <v>5.2525252525252526</v>
      </c>
      <c r="Q21" s="57">
        <v>39</v>
      </c>
      <c r="R21" s="100">
        <f>-355000/B21</f>
        <v>-179.2929292929293</v>
      </c>
      <c r="S21" s="59">
        <f>66.4/B21*1000</f>
        <v>33.535353535353536</v>
      </c>
      <c r="T21" s="59">
        <f>52.5/B21*1000</f>
        <v>26.515151515151516</v>
      </c>
      <c r="U21" s="59">
        <v>1.3</v>
      </c>
      <c r="V21" s="60" t="s">
        <v>14</v>
      </c>
      <c r="W21" s="29" t="s">
        <v>65</v>
      </c>
      <c r="X21" s="65"/>
      <c r="Y21" s="72"/>
      <c r="Z21" s="72"/>
      <c r="AA21" s="29"/>
      <c r="AB21" s="29"/>
    </row>
    <row r="22" spans="1:29" ht="25.5" customHeight="1" x14ac:dyDescent="0.2">
      <c r="A22" s="45" t="s">
        <v>70</v>
      </c>
      <c r="B22" s="48">
        <v>140</v>
      </c>
      <c r="C22" s="119" t="s">
        <v>43</v>
      </c>
      <c r="D22" s="48">
        <v>354</v>
      </c>
      <c r="E22" s="119" t="s">
        <v>60</v>
      </c>
      <c r="F22" s="48">
        <v>81</v>
      </c>
      <c r="G22" s="97">
        <f>38.5/B22*1000</f>
        <v>275</v>
      </c>
      <c r="H22" s="97">
        <f>3.4/B22*1000</f>
        <v>24.285714285714285</v>
      </c>
      <c r="I22" s="96">
        <f>434000/B22</f>
        <v>3100</v>
      </c>
      <c r="J22" s="48">
        <v>8</v>
      </c>
      <c r="K22" s="93">
        <f>599000/B22</f>
        <v>4278.5714285714284</v>
      </c>
      <c r="L22" s="97">
        <f>14.4/B22*1000</f>
        <v>102.85714285714286</v>
      </c>
      <c r="M22" s="97">
        <f>14.6/B22*1000</f>
        <v>104.28571428571429</v>
      </c>
      <c r="N22" s="101">
        <v>1</v>
      </c>
      <c r="O22" s="97">
        <f>37.6/B22*1000</f>
        <v>268.57142857142856</v>
      </c>
      <c r="P22" s="97">
        <f>3.4/B22*1000</f>
        <v>24.285714285714285</v>
      </c>
      <c r="Q22" s="48">
        <v>9</v>
      </c>
      <c r="R22" s="99">
        <f>577000/B22</f>
        <v>4121.4285714285716</v>
      </c>
      <c r="S22" s="97">
        <f>14.4/B22*1000</f>
        <v>102.85714285714286</v>
      </c>
      <c r="T22" s="97">
        <f>14.4/B22*1000</f>
        <v>102.85714285714286</v>
      </c>
      <c r="U22" s="97">
        <v>1</v>
      </c>
      <c r="V22" s="98" t="s">
        <v>72</v>
      </c>
      <c r="W22" s="48" t="s">
        <v>79</v>
      </c>
      <c r="X22" s="51"/>
      <c r="Y22" s="72"/>
      <c r="Z22" s="29"/>
      <c r="AA22" s="29"/>
      <c r="AB22" s="29"/>
    </row>
    <row r="23" spans="1:29" ht="25.5" customHeight="1" x14ac:dyDescent="0.2">
      <c r="A23" s="55" t="s">
        <v>34</v>
      </c>
      <c r="B23" s="66">
        <v>216</v>
      </c>
      <c r="C23" s="56" t="s">
        <v>38</v>
      </c>
      <c r="D23" s="57">
        <v>282</v>
      </c>
      <c r="E23" s="56" t="s">
        <v>11</v>
      </c>
      <c r="F23" s="57">
        <v>78</v>
      </c>
      <c r="G23" s="59">
        <f>54/B23*1000</f>
        <v>250</v>
      </c>
      <c r="H23" s="59">
        <f>2.1/B23*1000</f>
        <v>9.7222222222222232</v>
      </c>
      <c r="I23" s="71">
        <f>766000/B23</f>
        <v>3546.2962962962961</v>
      </c>
      <c r="J23" s="57">
        <v>20</v>
      </c>
      <c r="K23" s="100">
        <f>207000/B23</f>
        <v>958.33333333333337</v>
      </c>
      <c r="L23" s="62">
        <f>10.3/B23*1000</f>
        <v>47.68518518518519</v>
      </c>
      <c r="M23" s="62">
        <f>13.5/B23*1000</f>
        <v>62.5</v>
      </c>
      <c r="N23" s="103">
        <v>0.8</v>
      </c>
      <c r="O23" s="59">
        <f>52.8/B23*1000</f>
        <v>244.44444444444443</v>
      </c>
      <c r="P23" s="59">
        <f>2.1/B23*1000</f>
        <v>9.7222222222222232</v>
      </c>
      <c r="Q23" s="57">
        <v>20</v>
      </c>
      <c r="R23" s="100">
        <f>202000/B23</f>
        <v>935.18518518518522</v>
      </c>
      <c r="S23" s="62">
        <f>10.3/B23*1000</f>
        <v>47.68518518518519</v>
      </c>
      <c r="T23" s="62">
        <f>13.3/B23*1000</f>
        <v>61.574074074074076</v>
      </c>
      <c r="U23" s="57">
        <v>0.8</v>
      </c>
      <c r="V23" s="60" t="s">
        <v>14</v>
      </c>
      <c r="W23" s="29" t="s">
        <v>65</v>
      </c>
      <c r="X23" s="65"/>
      <c r="Y23" s="72"/>
      <c r="Z23" s="29"/>
      <c r="AA23" s="29"/>
      <c r="AB23" s="29"/>
    </row>
    <row r="24" spans="1:29" ht="25.5" customHeight="1" x14ac:dyDescent="0.2">
      <c r="A24" s="45" t="s">
        <v>28</v>
      </c>
      <c r="B24" s="48">
        <v>144</v>
      </c>
      <c r="C24" s="119" t="s">
        <v>32</v>
      </c>
      <c r="D24" s="48">
        <v>202</v>
      </c>
      <c r="E24" s="119" t="s">
        <v>11</v>
      </c>
      <c r="F24" s="48">
        <v>38</v>
      </c>
      <c r="G24" s="97">
        <f>31.7/B24*1000</f>
        <v>220.13888888888889</v>
      </c>
      <c r="H24" s="97">
        <f>-2.1/B24*1000</f>
        <v>-14.583333333333334</v>
      </c>
      <c r="I24" s="96">
        <f>523000/B24</f>
        <v>3631.9444444444443</v>
      </c>
      <c r="J24" s="48">
        <v>15</v>
      </c>
      <c r="K24" s="93">
        <f>267000/B24</f>
        <v>1854.1666666666667</v>
      </c>
      <c r="L24" s="97">
        <f>30.5/B24*1000</f>
        <v>211.80555555555554</v>
      </c>
      <c r="M24" s="97">
        <f>8.1/B24*1000</f>
        <v>56.249999999999993</v>
      </c>
      <c r="N24" s="101">
        <v>3.8</v>
      </c>
      <c r="O24" s="97">
        <f>31.7/B24*1000</f>
        <v>220.13888888888889</v>
      </c>
      <c r="P24" s="97">
        <f>-2.2/B24*1000</f>
        <v>-15.277777777777779</v>
      </c>
      <c r="Q24" s="48">
        <v>15</v>
      </c>
      <c r="R24" s="99">
        <f>265000/B24</f>
        <v>1840.2777777777778</v>
      </c>
      <c r="S24" s="97">
        <f>30.5/B24*1000</f>
        <v>211.80555555555554</v>
      </c>
      <c r="T24" s="97">
        <f>8/B24*1000</f>
        <v>55.55555555555555</v>
      </c>
      <c r="U24" s="97">
        <v>3.8</v>
      </c>
      <c r="V24" s="98" t="s">
        <v>14</v>
      </c>
      <c r="W24" s="48" t="s">
        <v>65</v>
      </c>
      <c r="X24" s="51"/>
      <c r="Y24" s="72"/>
      <c r="Z24" s="29"/>
      <c r="AA24" s="29"/>
      <c r="AB24" s="34"/>
    </row>
    <row r="25" spans="1:29" ht="25.5" customHeight="1" x14ac:dyDescent="0.2">
      <c r="A25" s="52" t="s">
        <v>42</v>
      </c>
      <c r="B25" s="29">
        <v>140</v>
      </c>
      <c r="C25" s="120" t="s">
        <v>38</v>
      </c>
      <c r="D25" s="29">
        <v>256</v>
      </c>
      <c r="E25" s="120" t="s">
        <v>11</v>
      </c>
      <c r="F25" s="29">
        <v>49</v>
      </c>
      <c r="G25" s="33">
        <f>39.8/B25*1000</f>
        <v>284.28571428571428</v>
      </c>
      <c r="H25" s="33">
        <f>-1.7/B25*1000</f>
        <v>-12.142857142857142</v>
      </c>
      <c r="I25" s="70">
        <f>566000/B25</f>
        <v>4042.8571428571427</v>
      </c>
      <c r="J25" s="29">
        <v>14</v>
      </c>
      <c r="K25" s="31">
        <f>216000/B25</f>
        <v>1542.8571428571429</v>
      </c>
      <c r="L25" s="41">
        <f>27/B25*1000</f>
        <v>192.85714285714286</v>
      </c>
      <c r="M25" s="41">
        <f>10.7/B25*1000</f>
        <v>76.428571428571431</v>
      </c>
      <c r="N25" s="102">
        <v>2.5</v>
      </c>
      <c r="O25" s="33">
        <f>39.8/B25*1000</f>
        <v>284.28571428571428</v>
      </c>
      <c r="P25" s="33">
        <f>-2/B25*1000</f>
        <v>-14.285714285714285</v>
      </c>
      <c r="Q25" s="31">
        <v>14</v>
      </c>
      <c r="R25" s="36">
        <f>208000/B25</f>
        <v>1485.7142857142858</v>
      </c>
      <c r="S25" s="33">
        <f>27/B25*1000</f>
        <v>192.85714285714286</v>
      </c>
      <c r="T25" s="33">
        <f>10.5/B25*1000</f>
        <v>75</v>
      </c>
      <c r="U25" s="33">
        <v>2.6</v>
      </c>
      <c r="V25" s="34" t="s">
        <v>71</v>
      </c>
      <c r="W25" s="29" t="s">
        <v>65</v>
      </c>
      <c r="X25" s="53"/>
      <c r="Y25" s="72"/>
      <c r="Z25" s="29"/>
      <c r="AA25" s="29"/>
      <c r="AB25" s="34"/>
    </row>
    <row r="26" spans="1:29" ht="25.5" customHeight="1" x14ac:dyDescent="0.2">
      <c r="A26" s="45" t="s">
        <v>40</v>
      </c>
      <c r="B26" s="80">
        <v>140</v>
      </c>
      <c r="C26" s="119" t="s">
        <v>43</v>
      </c>
      <c r="D26" s="48">
        <v>354</v>
      </c>
      <c r="E26" s="119" t="s">
        <v>11</v>
      </c>
      <c r="F26" s="48">
        <v>45</v>
      </c>
      <c r="G26" s="97">
        <f>54.8/B26*1000</f>
        <v>391.42857142857139</v>
      </c>
      <c r="H26" s="97">
        <f>-1.5/B26*1000</f>
        <v>-10.714285714285714</v>
      </c>
      <c r="I26" s="96">
        <f>604000/B26</f>
        <v>4314.2857142857147</v>
      </c>
      <c r="J26" s="48">
        <v>10</v>
      </c>
      <c r="K26" s="93">
        <f>582000/B26</f>
        <v>4157.1428571428569</v>
      </c>
      <c r="L26" s="97">
        <f>28.8/B26*1000</f>
        <v>205.71428571428572</v>
      </c>
      <c r="M26" s="97">
        <f>15.3/B26*1000</f>
        <v>109.28571428571429</v>
      </c>
      <c r="N26" s="110">
        <v>1.9</v>
      </c>
      <c r="O26" s="97">
        <f>54.8/B26*1000</f>
        <v>391.42857142857139</v>
      </c>
      <c r="P26" s="97">
        <f>-1.8/B26*1000</f>
        <v>-12.857142857142858</v>
      </c>
      <c r="Q26" s="48">
        <v>10</v>
      </c>
      <c r="R26" s="99">
        <f>573000/B26</f>
        <v>4092.8571428571427</v>
      </c>
      <c r="S26" s="97">
        <f>28.8/B26*1000</f>
        <v>205.71428571428572</v>
      </c>
      <c r="T26" s="97">
        <f>15.1/B26*1000</f>
        <v>107.85714285714286</v>
      </c>
      <c r="U26" s="97">
        <v>1.9</v>
      </c>
      <c r="V26" s="108" t="s">
        <v>71</v>
      </c>
      <c r="W26" s="48" t="s">
        <v>65</v>
      </c>
      <c r="X26" s="51"/>
      <c r="Y26" s="72"/>
      <c r="Z26" s="29"/>
      <c r="AA26" s="29"/>
      <c r="AB26" s="34"/>
    </row>
    <row r="27" spans="1:29" ht="25.5" customHeight="1" x14ac:dyDescent="0.2">
      <c r="A27" s="55" t="s">
        <v>57</v>
      </c>
      <c r="B27" s="57">
        <v>334</v>
      </c>
      <c r="C27" s="56" t="s">
        <v>32</v>
      </c>
      <c r="D27" s="57">
        <v>220</v>
      </c>
      <c r="E27" s="56" t="s">
        <v>60</v>
      </c>
      <c r="F27" s="57">
        <v>92</v>
      </c>
      <c r="G27" s="59">
        <f>46.9/B27*1000</f>
        <v>140.4191616766467</v>
      </c>
      <c r="H27" s="59">
        <f>3.8/B27*1000</f>
        <v>11.377245508982035</v>
      </c>
      <c r="I27" s="71">
        <f>1611000/B27</f>
        <v>4823.3532934131736</v>
      </c>
      <c r="J27" s="57">
        <v>44</v>
      </c>
      <c r="K27" s="100">
        <f>-114000/B27</f>
        <v>-341.31736526946105</v>
      </c>
      <c r="L27" s="59">
        <f>14.7/B27*1000</f>
        <v>44.011976047904191</v>
      </c>
      <c r="M27" s="59">
        <f>13/B27*1000</f>
        <v>38.922155688622759</v>
      </c>
      <c r="N27" s="111">
        <v>1.1000000000000001</v>
      </c>
      <c r="O27" s="59">
        <f>44.9/B27*1000</f>
        <v>134.43113772455089</v>
      </c>
      <c r="P27" s="59">
        <f>3.8/B27*1000</f>
        <v>11.377245508982035</v>
      </c>
      <c r="Q27" s="57">
        <v>44</v>
      </c>
      <c r="R27" s="100">
        <f>-120000/B27</f>
        <v>-359.28143712574848</v>
      </c>
      <c r="S27" s="59">
        <f>14.7/B27*1000</f>
        <v>44.011976047904191</v>
      </c>
      <c r="T27" s="59">
        <f>12.6/B27*1000</f>
        <v>37.724550898203589</v>
      </c>
      <c r="U27" s="59">
        <v>1.2</v>
      </c>
      <c r="V27" s="60" t="s">
        <v>14</v>
      </c>
      <c r="W27" s="57" t="s">
        <v>65</v>
      </c>
      <c r="X27" s="65"/>
      <c r="Y27" s="72"/>
      <c r="Z27" s="29"/>
      <c r="AA27" s="29"/>
      <c r="AB27" s="34"/>
    </row>
    <row r="28" spans="1:29" ht="12.75" customHeight="1" x14ac:dyDescent="0.2">
      <c r="A28" s="28"/>
      <c r="B28" s="28"/>
      <c r="C28" s="28"/>
      <c r="D28" s="121"/>
      <c r="E28" s="28"/>
      <c r="F28" s="87"/>
      <c r="G28" s="28"/>
      <c r="H28" s="121"/>
      <c r="I28" s="88"/>
      <c r="J28" s="123"/>
      <c r="K28" s="123"/>
      <c r="L28" s="123"/>
      <c r="M28" s="123"/>
      <c r="N28" s="123"/>
      <c r="O28" s="28"/>
      <c r="P28" s="121"/>
      <c r="Q28" s="123"/>
      <c r="R28" s="123"/>
      <c r="S28" s="123"/>
      <c r="T28" s="123"/>
      <c r="U28" s="123"/>
      <c r="V28" s="28"/>
      <c r="W28" s="28"/>
      <c r="X28" s="28"/>
      <c r="Y28" s="28"/>
      <c r="Z28" s="28"/>
      <c r="AA28" s="28"/>
      <c r="AB28" s="28"/>
      <c r="AC28" s="28"/>
    </row>
    <row r="29" spans="1:29" ht="12.75" customHeight="1" x14ac:dyDescent="0.2">
      <c r="A29" s="28"/>
      <c r="B29" s="28"/>
      <c r="C29" s="28"/>
      <c r="D29" s="121"/>
      <c r="E29" s="28"/>
      <c r="F29" s="121"/>
      <c r="G29" s="28"/>
      <c r="H29" s="121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2.75" customHeight="1" x14ac:dyDescent="0.2">
      <c r="A30" s="28"/>
      <c r="B30" s="28"/>
      <c r="C30" s="121"/>
      <c r="D30" s="28"/>
      <c r="E30" s="121"/>
      <c r="F30" s="28"/>
      <c r="G30" s="28"/>
      <c r="H30" s="28"/>
      <c r="I30" s="36"/>
      <c r="J30" s="28"/>
      <c r="K30" s="36"/>
      <c r="L30" s="41"/>
      <c r="M30" s="41"/>
      <c r="N30" s="28"/>
      <c r="O30" s="28"/>
      <c r="P30" s="28"/>
      <c r="Q30" s="28"/>
      <c r="R30" s="36"/>
      <c r="S30" s="41"/>
      <c r="T30" s="41"/>
      <c r="U30" s="41"/>
      <c r="V30" s="28"/>
      <c r="W30" s="90"/>
      <c r="X30" s="90"/>
      <c r="Y30" s="90"/>
      <c r="Z30" s="90"/>
      <c r="AA30" s="28"/>
      <c r="AB30" s="28"/>
      <c r="AC30" s="28"/>
    </row>
    <row r="31" spans="1:29" ht="25.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25.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x14ac:dyDescent="0.2">
      <c r="A34" s="28"/>
      <c r="B34" s="28"/>
      <c r="C34" s="121"/>
      <c r="D34" s="28"/>
      <c r="E34" s="121"/>
      <c r="F34" s="28"/>
      <c r="G34" s="41"/>
      <c r="H34" s="28"/>
      <c r="I34" s="36"/>
      <c r="J34" s="28"/>
      <c r="K34" s="36"/>
      <c r="L34" s="28"/>
      <c r="M34" s="28"/>
      <c r="N34" s="28"/>
      <c r="O34" s="28"/>
      <c r="P34" s="91"/>
      <c r="Q34" s="36"/>
      <c r="R34" s="36"/>
      <c r="S34" s="28"/>
      <c r="T34" s="28"/>
      <c r="U34" s="41"/>
      <c r="V34" s="90"/>
      <c r="W34" s="90"/>
      <c r="X34" s="90"/>
      <c r="Y34" s="90"/>
      <c r="Z34" s="90"/>
      <c r="AA34" s="28"/>
      <c r="AB34" s="28"/>
      <c r="AC34" s="28"/>
    </row>
    <row r="35" spans="1:29" ht="12.75" customHeight="1" x14ac:dyDescent="0.2">
      <c r="A35" s="28"/>
      <c r="B35" s="28"/>
      <c r="C35" s="121"/>
      <c r="D35" s="121"/>
      <c r="E35" s="87"/>
      <c r="F35" s="87"/>
      <c r="G35" s="28"/>
      <c r="H35" s="28"/>
      <c r="I35" s="87"/>
      <c r="J35" s="92"/>
      <c r="K35" s="88"/>
      <c r="L35" s="28"/>
      <c r="M35" s="28"/>
      <c r="N35" s="28"/>
      <c r="O35" s="28"/>
      <c r="P35" s="28"/>
      <c r="Q35" s="92"/>
      <c r="R35" s="8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x14ac:dyDescent="0.2">
      <c r="A36" s="28"/>
      <c r="B36" s="28"/>
      <c r="C36" s="28"/>
      <c r="D36" s="121"/>
      <c r="E36" s="28"/>
      <c r="F36" s="87"/>
      <c r="G36" s="28"/>
      <c r="H36" s="121"/>
      <c r="I36" s="88"/>
      <c r="J36" s="123"/>
      <c r="K36" s="123"/>
      <c r="L36" s="123"/>
      <c r="M36" s="123"/>
      <c r="N36" s="123"/>
      <c r="O36" s="28"/>
      <c r="P36" s="121"/>
      <c r="Q36" s="123"/>
      <c r="R36" s="123"/>
      <c r="S36" s="123"/>
      <c r="T36" s="123"/>
      <c r="U36" s="123"/>
      <c r="V36" s="28"/>
      <c r="W36" s="28"/>
      <c r="X36" s="28"/>
      <c r="Y36" s="28"/>
      <c r="Z36" s="28"/>
      <c r="AA36" s="28"/>
      <c r="AB36" s="28"/>
      <c r="AC36" s="28"/>
    </row>
    <row r="37" spans="1:29" ht="12.75" customHeight="1" x14ac:dyDescent="0.2">
      <c r="A37" s="28"/>
      <c r="B37" s="28"/>
      <c r="C37" s="28"/>
      <c r="D37" s="121"/>
      <c r="E37" s="28"/>
      <c r="F37" s="121"/>
      <c r="G37" s="28"/>
      <c r="H37" s="121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2.75" customHeight="1" x14ac:dyDescent="0.2">
      <c r="A38" s="28"/>
      <c r="B38" s="28"/>
      <c r="C38" s="121"/>
      <c r="D38" s="28"/>
      <c r="E38" s="121"/>
      <c r="F38" s="28"/>
      <c r="G38" s="41"/>
      <c r="H38" s="28"/>
      <c r="I38" s="36"/>
      <c r="J38" s="28"/>
      <c r="K38" s="36"/>
      <c r="L38" s="41"/>
      <c r="M38" s="41"/>
      <c r="N38" s="41"/>
      <c r="O38" s="41"/>
      <c r="P38" s="28"/>
      <c r="Q38" s="28"/>
      <c r="R38" s="36"/>
      <c r="S38" s="41"/>
      <c r="T38" s="41"/>
      <c r="U38" s="41"/>
      <c r="V38" s="28"/>
      <c r="W38" s="90"/>
      <c r="X38" s="90"/>
      <c r="Y38" s="90"/>
      <c r="Z38" s="90"/>
      <c r="AA38" s="28"/>
      <c r="AB38" s="28"/>
      <c r="AC38" s="28"/>
    </row>
    <row r="39" spans="1:29" ht="25.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25.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25.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25.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12.75" customHeight="1" x14ac:dyDescent="0.2">
      <c r="A50" s="28"/>
      <c r="B50" s="28"/>
      <c r="C50" s="121"/>
      <c r="D50" s="121"/>
      <c r="E50" s="87"/>
      <c r="F50" s="87"/>
      <c r="G50" s="28"/>
      <c r="H50" s="28"/>
      <c r="I50" s="87"/>
      <c r="J50" s="92"/>
      <c r="K50" s="8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1:29" x14ac:dyDescent="0.2">
      <c r="A51" s="28"/>
      <c r="B51" s="28"/>
      <c r="C51" s="28"/>
      <c r="D51" s="121"/>
      <c r="E51" s="28"/>
      <c r="F51" s="87"/>
      <c r="G51" s="28"/>
      <c r="H51" s="121"/>
      <c r="I51" s="88"/>
      <c r="J51" s="123"/>
      <c r="K51" s="123"/>
      <c r="L51" s="123"/>
      <c r="M51" s="123"/>
      <c r="N51" s="123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29" ht="12.75" customHeight="1" x14ac:dyDescent="0.2">
      <c r="A52" s="28"/>
      <c r="B52" s="28"/>
      <c r="C52" s="28"/>
      <c r="D52" s="121"/>
      <c r="E52" s="28"/>
      <c r="F52" s="121"/>
      <c r="G52" s="28"/>
      <c r="H52" s="121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29" ht="12.75" customHeight="1" x14ac:dyDescent="0.2">
      <c r="A53" s="28"/>
      <c r="B53" s="28"/>
      <c r="C53" s="121"/>
      <c r="D53" s="28"/>
      <c r="E53" s="121"/>
      <c r="F53" s="28"/>
      <c r="G53" s="28"/>
      <c r="H53" s="28"/>
      <c r="I53" s="36"/>
      <c r="J53" s="28"/>
      <c r="K53" s="36"/>
      <c r="L53" s="41"/>
      <c r="M53" s="41"/>
      <c r="N53" s="41"/>
      <c r="O53" s="28"/>
      <c r="P53" s="90"/>
      <c r="Q53" s="90"/>
      <c r="R53" s="90"/>
      <c r="S53" s="28"/>
      <c r="T53" s="90"/>
      <c r="U53" s="90"/>
      <c r="V53" s="28"/>
      <c r="W53" s="28"/>
      <c r="X53" s="28"/>
      <c r="Y53" s="28"/>
      <c r="Z53" s="28"/>
      <c r="AA53" s="28"/>
      <c r="AB53" s="28"/>
      <c r="AC53" s="28"/>
    </row>
    <row r="54" spans="1:29" ht="25.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90"/>
      <c r="U54" s="90"/>
      <c r="V54" s="28"/>
      <c r="W54" s="28"/>
      <c r="X54" s="28"/>
      <c r="Y54" s="28"/>
      <c r="Z54" s="28"/>
      <c r="AA54" s="28"/>
      <c r="AB54" s="28"/>
      <c r="AC54" s="28"/>
    </row>
    <row r="55" spans="1:29" ht="12.75" customHeight="1" x14ac:dyDescent="0.2">
      <c r="A55" s="28"/>
      <c r="B55" s="28"/>
      <c r="C55" s="121"/>
      <c r="D55" s="28"/>
      <c r="E55" s="121"/>
      <c r="F55" s="28"/>
      <c r="G55" s="28"/>
      <c r="H55" s="28"/>
      <c r="I55" s="36"/>
      <c r="J55" s="28"/>
      <c r="K55" s="36"/>
      <c r="L55" s="41"/>
      <c r="M55" s="41"/>
      <c r="N55" s="28"/>
      <c r="O55" s="28"/>
      <c r="P55" s="90"/>
      <c r="Q55" s="90"/>
      <c r="R55" s="90"/>
      <c r="S55" s="28"/>
      <c r="T55" s="90"/>
      <c r="U55" s="90"/>
      <c r="V55" s="28"/>
      <c r="W55" s="28"/>
      <c r="X55" s="28"/>
      <c r="Y55" s="28"/>
      <c r="Z55" s="28"/>
      <c r="AA55" s="28"/>
      <c r="AB55" s="28"/>
      <c r="AC55" s="28"/>
    </row>
    <row r="56" spans="1:29" ht="25.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90"/>
      <c r="U56" s="90"/>
      <c r="V56" s="28"/>
      <c r="W56" s="28"/>
      <c r="X56" s="28"/>
      <c r="Y56" s="28"/>
      <c r="Z56" s="28"/>
      <c r="AA56" s="28"/>
      <c r="AB56" s="28"/>
      <c r="AC56" s="28"/>
    </row>
    <row r="57" spans="1:29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ht="12.75" customHeight="1" x14ac:dyDescent="0.2">
      <c r="A58" s="28"/>
      <c r="B58" s="28"/>
      <c r="C58" s="121"/>
      <c r="D58" s="121"/>
      <c r="E58" s="87"/>
      <c r="F58" s="87"/>
      <c r="G58" s="28"/>
      <c r="H58" s="28"/>
      <c r="I58" s="87"/>
      <c r="J58" s="92"/>
      <c r="K58" s="8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x14ac:dyDescent="0.2">
      <c r="A59" s="28"/>
      <c r="B59" s="28"/>
      <c r="C59" s="28"/>
      <c r="D59" s="121"/>
      <c r="E59" s="28"/>
      <c r="F59" s="87"/>
      <c r="G59" s="28"/>
      <c r="H59" s="121"/>
      <c r="I59" s="88"/>
      <c r="J59" s="123"/>
      <c r="K59" s="123"/>
      <c r="L59" s="123"/>
      <c r="M59" s="123"/>
      <c r="N59" s="123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ht="12.75" customHeight="1" x14ac:dyDescent="0.2">
      <c r="A60" s="28"/>
      <c r="B60" s="28"/>
      <c r="C60" s="28"/>
      <c r="D60" s="121"/>
      <c r="E60" s="28"/>
      <c r="F60" s="121"/>
      <c r="G60" s="28"/>
      <c r="H60" s="121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1:29" ht="12.75" customHeight="1" x14ac:dyDescent="0.2">
      <c r="A61" s="28"/>
      <c r="B61" s="28"/>
      <c r="C61" s="121"/>
      <c r="D61" s="28"/>
      <c r="E61" s="121"/>
      <c r="F61" s="28"/>
      <c r="G61" s="28"/>
      <c r="H61" s="28"/>
      <c r="I61" s="36"/>
      <c r="J61" s="28"/>
      <c r="K61" s="36"/>
      <c r="L61" s="91"/>
      <c r="M61" s="91"/>
      <c r="N61" s="28"/>
      <c r="O61" s="28"/>
      <c r="P61" s="90"/>
      <c r="Q61" s="90"/>
      <c r="R61" s="90"/>
      <c r="S61" s="28"/>
      <c r="T61" s="90"/>
      <c r="U61" s="90"/>
      <c r="V61" s="28"/>
      <c r="W61" s="28"/>
      <c r="X61" s="28"/>
      <c r="Y61" s="28"/>
      <c r="Z61" s="28"/>
      <c r="AA61" s="28"/>
      <c r="AB61" s="28"/>
      <c r="AC61" s="28"/>
    </row>
    <row r="62" spans="1:29" ht="25.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ht="12.75" customHeight="1" x14ac:dyDescent="0.2">
      <c r="A63" s="28"/>
      <c r="B63" s="28"/>
      <c r="C63" s="121"/>
      <c r="D63" s="28"/>
      <c r="E63" s="121"/>
      <c r="F63" s="28"/>
      <c r="G63" s="28"/>
      <c r="H63" s="28"/>
      <c r="I63" s="36"/>
      <c r="J63" s="28"/>
      <c r="K63" s="36"/>
      <c r="L63" s="91"/>
      <c r="M63" s="91"/>
      <c r="N63" s="28"/>
      <c r="O63" s="28"/>
      <c r="P63" s="90"/>
      <c r="Q63" s="90"/>
      <c r="R63" s="90"/>
      <c r="S63" s="28"/>
      <c r="T63" s="90"/>
      <c r="U63" s="90"/>
      <c r="V63" s="28"/>
      <c r="W63" s="28"/>
      <c r="X63" s="28"/>
      <c r="Y63" s="28"/>
      <c r="Z63" s="28"/>
      <c r="AA63" s="28"/>
      <c r="AB63" s="28"/>
      <c r="AC63" s="28"/>
    </row>
    <row r="64" spans="1:29" ht="25.5" customHeight="1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x14ac:dyDescent="0.2">
      <c r="A66" s="28"/>
      <c r="B66" s="28"/>
      <c r="C66" s="121"/>
      <c r="D66" s="121"/>
      <c r="E66" s="87"/>
      <c r="F66" s="87"/>
      <c r="G66" s="28"/>
      <c r="H66" s="28"/>
      <c r="I66" s="87"/>
      <c r="J66" s="92"/>
      <c r="K66" s="8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1:29" x14ac:dyDescent="0.2">
      <c r="A67" s="28"/>
      <c r="B67" s="28"/>
      <c r="C67" s="28"/>
      <c r="D67" s="121"/>
      <c r="E67" s="28"/>
      <c r="F67" s="87"/>
      <c r="G67" s="28"/>
      <c r="H67" s="121"/>
      <c r="I67" s="88"/>
      <c r="J67" s="123"/>
      <c r="K67" s="123"/>
      <c r="L67" s="123"/>
      <c r="M67" s="123"/>
      <c r="N67" s="123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1:29" x14ac:dyDescent="0.2">
      <c r="A68" s="28"/>
      <c r="B68" s="28"/>
      <c r="C68" s="28"/>
      <c r="D68" s="121"/>
      <c r="E68" s="28"/>
      <c r="F68" s="121"/>
      <c r="G68" s="28"/>
      <c r="H68" s="121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ht="12.75" customHeight="1" x14ac:dyDescent="0.2">
      <c r="A69" s="28"/>
      <c r="B69" s="28"/>
      <c r="C69" s="121"/>
      <c r="D69" s="28"/>
      <c r="E69" s="121"/>
      <c r="F69" s="28"/>
      <c r="G69" s="28"/>
      <c r="H69" s="28"/>
      <c r="I69" s="36"/>
      <c r="J69" s="28"/>
      <c r="K69" s="36"/>
      <c r="L69" s="91"/>
      <c r="M69" s="91"/>
      <c r="N69" s="28"/>
      <c r="O69" s="28"/>
      <c r="P69" s="90"/>
      <c r="Q69" s="90"/>
      <c r="R69" s="90"/>
      <c r="S69" s="28"/>
      <c r="T69" s="90"/>
      <c r="U69" s="90"/>
      <c r="V69" s="28"/>
      <c r="W69" s="28"/>
      <c r="X69" s="28"/>
      <c r="Y69" s="28"/>
      <c r="Z69" s="28"/>
      <c r="AA69" s="28"/>
      <c r="AB69" s="28"/>
      <c r="AC69" s="28"/>
    </row>
    <row r="70" spans="1:29" ht="25.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1:29" ht="12.75" customHeight="1" x14ac:dyDescent="0.2">
      <c r="A71" s="28"/>
      <c r="B71" s="28"/>
      <c r="C71" s="121"/>
      <c r="D71" s="28"/>
      <c r="E71" s="121"/>
      <c r="F71" s="28"/>
      <c r="G71" s="28"/>
      <c r="H71" s="28"/>
      <c r="I71" s="36"/>
      <c r="J71" s="28"/>
      <c r="K71" s="36"/>
      <c r="L71" s="91"/>
      <c r="M71" s="91"/>
      <c r="N71" s="41"/>
      <c r="O71" s="28"/>
      <c r="P71" s="90"/>
      <c r="Q71" s="90"/>
      <c r="R71" s="90"/>
      <c r="S71" s="28"/>
      <c r="T71" s="90"/>
      <c r="U71" s="90"/>
      <c r="V71" s="28"/>
      <c r="W71" s="28"/>
      <c r="X71" s="28"/>
      <c r="Y71" s="28"/>
      <c r="Z71" s="28"/>
      <c r="AA71" s="28"/>
      <c r="AB71" s="28"/>
      <c r="AC71" s="28"/>
    </row>
    <row r="72" spans="1:29" ht="25.5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1:29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90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1:29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1:29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spans="1:29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1:29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</sheetData>
  <sortState ref="A8:W27">
    <sortCondition ref="I8"/>
  </sortState>
  <mergeCells count="13">
    <mergeCell ref="C3:D3"/>
    <mergeCell ref="E3:F3"/>
    <mergeCell ref="J4:N4"/>
    <mergeCell ref="Q4:U4"/>
    <mergeCell ref="L6:M6"/>
    <mergeCell ref="S6:T6"/>
    <mergeCell ref="J67:N67"/>
    <mergeCell ref="J28:N28"/>
    <mergeCell ref="Q28:U28"/>
    <mergeCell ref="J36:N36"/>
    <mergeCell ref="Q36:U36"/>
    <mergeCell ref="J51:N51"/>
    <mergeCell ref="J59:N5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Z71"/>
  <sheetViews>
    <sheetView zoomScale="80" zoomScaleNormal="80" workbookViewId="0">
      <pane xSplit="1" topLeftCell="C1" activePane="topRight" state="frozen"/>
      <selection pane="topRight" activeCell="K43" sqref="K43"/>
    </sheetView>
  </sheetViews>
  <sheetFormatPr defaultRowHeight="12.6" x14ac:dyDescent="0.2"/>
  <cols>
    <col min="1" max="1" width="34.26953125" customWidth="1"/>
    <col min="2" max="2" width="4.26953125" customWidth="1"/>
    <col min="4" max="4" width="4.453125" customWidth="1"/>
    <col min="6" max="6" width="10.90625" customWidth="1"/>
    <col min="7" max="7" width="8.26953125" customWidth="1"/>
    <col min="8" max="8" width="11.6328125" customWidth="1"/>
    <col min="9" max="9" width="4.453125" bestFit="1" customWidth="1"/>
    <col min="10" max="10" width="12.36328125" customWidth="1"/>
    <col min="11" max="11" width="15" bestFit="1" customWidth="1"/>
    <col min="12" max="12" width="9.453125" bestFit="1" customWidth="1"/>
    <col min="13" max="13" width="9.36328125" bestFit="1" customWidth="1"/>
    <col min="14" max="14" width="10.36328125" customWidth="1"/>
    <col min="15" max="15" width="8.453125" customWidth="1"/>
    <col min="16" max="16" width="4.453125" bestFit="1" customWidth="1"/>
    <col min="17" max="17" width="11.90625" customWidth="1"/>
    <col min="18" max="18" width="14.36328125" customWidth="1"/>
    <col min="19" max="19" width="10.08984375" customWidth="1"/>
    <col min="20" max="20" width="9.36328125" customWidth="1"/>
  </cols>
  <sheetData>
    <row r="1" spans="1:26" x14ac:dyDescent="0.2">
      <c r="A1" t="s">
        <v>0</v>
      </c>
      <c r="C1" t="s">
        <v>15</v>
      </c>
      <c r="J1" t="s">
        <v>16</v>
      </c>
      <c r="Q1" t="s">
        <v>17</v>
      </c>
    </row>
    <row r="3" spans="1:26" x14ac:dyDescent="0.2">
      <c r="A3" t="s">
        <v>1</v>
      </c>
      <c r="B3" s="132" t="s">
        <v>2</v>
      </c>
      <c r="C3" s="132"/>
      <c r="D3" s="133" t="s">
        <v>4</v>
      </c>
      <c r="E3" s="133"/>
      <c r="F3" t="s">
        <v>7</v>
      </c>
      <c r="H3" s="6" t="s">
        <v>8</v>
      </c>
      <c r="I3" s="3" t="s">
        <v>77</v>
      </c>
      <c r="J3" s="2" t="s">
        <v>78</v>
      </c>
      <c r="K3" t="s">
        <v>74</v>
      </c>
      <c r="L3" t="s">
        <v>75</v>
      </c>
      <c r="M3" t="s">
        <v>76</v>
      </c>
      <c r="N3" t="s">
        <v>22</v>
      </c>
      <c r="P3" s="3" t="s">
        <v>77</v>
      </c>
      <c r="Q3" s="2" t="s">
        <v>78</v>
      </c>
      <c r="R3" t="s">
        <v>74</v>
      </c>
      <c r="S3" t="s">
        <v>75</v>
      </c>
      <c r="T3" t="s">
        <v>76</v>
      </c>
      <c r="U3" t="s">
        <v>12</v>
      </c>
    </row>
    <row r="4" spans="1:26" x14ac:dyDescent="0.2">
      <c r="C4" s="1" t="s">
        <v>3</v>
      </c>
      <c r="E4" s="4" t="s">
        <v>3</v>
      </c>
      <c r="F4" t="s">
        <v>5</v>
      </c>
      <c r="G4" s="1" t="s">
        <v>6</v>
      </c>
      <c r="H4" s="2" t="s">
        <v>9</v>
      </c>
      <c r="I4" s="132">
        <v>22</v>
      </c>
      <c r="J4" s="132"/>
      <c r="K4" s="132"/>
      <c r="L4" s="132"/>
      <c r="M4" s="132"/>
      <c r="N4" t="s">
        <v>5</v>
      </c>
      <c r="O4" s="5" t="s">
        <v>6</v>
      </c>
      <c r="P4" s="132">
        <v>23</v>
      </c>
      <c r="Q4" s="132"/>
      <c r="R4" s="132"/>
      <c r="S4" s="132"/>
      <c r="T4" s="132"/>
    </row>
    <row r="5" spans="1:26" ht="12.75" x14ac:dyDescent="0.2">
      <c r="C5" s="1"/>
      <c r="E5" s="1"/>
      <c r="G5" s="1"/>
    </row>
    <row r="6" spans="1:26" ht="12.75" customHeight="1" x14ac:dyDescent="0.2">
      <c r="A6" t="s">
        <v>23</v>
      </c>
      <c r="B6" s="5" t="s">
        <v>18</v>
      </c>
      <c r="C6">
        <v>139</v>
      </c>
      <c r="D6" s="5" t="s">
        <v>11</v>
      </c>
      <c r="E6">
        <v>47</v>
      </c>
      <c r="F6">
        <v>230.8</v>
      </c>
      <c r="G6">
        <v>10.4</v>
      </c>
      <c r="H6" s="8">
        <v>5604000</v>
      </c>
      <c r="I6">
        <v>36</v>
      </c>
      <c r="J6" s="8">
        <v>-394000</v>
      </c>
      <c r="K6" s="10">
        <v>66.400000000000006</v>
      </c>
      <c r="L6" s="10">
        <v>58.9</v>
      </c>
      <c r="M6">
        <v>1.1000000000000001</v>
      </c>
      <c r="N6">
        <v>221.4</v>
      </c>
      <c r="O6">
        <v>10.4</v>
      </c>
      <c r="P6">
        <v>37</v>
      </c>
      <c r="Q6" s="8">
        <v>-463000</v>
      </c>
      <c r="R6" s="10">
        <v>66.400000000000006</v>
      </c>
      <c r="S6" s="10">
        <v>56.7</v>
      </c>
      <c r="T6" s="10">
        <v>1.2</v>
      </c>
      <c r="U6" s="129" t="s">
        <v>14</v>
      </c>
      <c r="V6" s="129"/>
      <c r="W6" s="129"/>
      <c r="X6" s="129"/>
      <c r="Y6" s="129"/>
      <c r="Z6" t="s">
        <v>64</v>
      </c>
    </row>
    <row r="7" spans="1:26" ht="13.2" thickBot="1" x14ac:dyDescent="0.25">
      <c r="A7" t="s">
        <v>19</v>
      </c>
      <c r="B7" s="7" t="s">
        <v>18</v>
      </c>
      <c r="C7">
        <v>139</v>
      </c>
      <c r="D7" s="7" t="s">
        <v>11</v>
      </c>
      <c r="E7">
        <v>47</v>
      </c>
      <c r="F7">
        <v>230.8</v>
      </c>
      <c r="G7">
        <v>10.4</v>
      </c>
      <c r="H7" s="8">
        <v>5604000</v>
      </c>
      <c r="I7">
        <v>36</v>
      </c>
      <c r="J7" s="8">
        <v>-125000</v>
      </c>
      <c r="K7" s="10">
        <v>66.400000000000006</v>
      </c>
      <c r="L7" s="10">
        <v>58.9</v>
      </c>
      <c r="M7">
        <v>1.1000000000000001</v>
      </c>
      <c r="N7">
        <v>221.4</v>
      </c>
      <c r="O7">
        <v>10.4</v>
      </c>
      <c r="P7">
        <v>37</v>
      </c>
      <c r="Q7" s="8">
        <v>-201000</v>
      </c>
      <c r="R7" s="10">
        <v>66.400000000000006</v>
      </c>
      <c r="S7" s="10">
        <v>56.7</v>
      </c>
      <c r="T7" s="10">
        <v>1.2</v>
      </c>
      <c r="U7" s="129"/>
      <c r="V7" s="129"/>
      <c r="W7" s="129"/>
      <c r="X7" s="129"/>
      <c r="Y7" s="129"/>
    </row>
    <row r="8" spans="1:26" ht="12.75" customHeight="1" x14ac:dyDescent="0.2">
      <c r="A8" s="14" t="s">
        <v>24</v>
      </c>
      <c r="B8" s="15" t="s">
        <v>18</v>
      </c>
      <c r="C8" s="14">
        <v>139</v>
      </c>
      <c r="D8" s="15" t="s">
        <v>10</v>
      </c>
      <c r="E8" s="14">
        <v>94</v>
      </c>
      <c r="F8" s="14">
        <v>91.6</v>
      </c>
      <c r="G8" s="14">
        <v>9.3000000000000007</v>
      </c>
      <c r="H8" s="16">
        <v>1989000</v>
      </c>
      <c r="I8" s="14">
        <v>27</v>
      </c>
      <c r="J8" s="16">
        <v>325000</v>
      </c>
      <c r="K8" s="17">
        <v>47.3</v>
      </c>
      <c r="L8" s="17">
        <v>26.6</v>
      </c>
      <c r="M8" s="14">
        <v>1.8</v>
      </c>
      <c r="N8" s="14">
        <v>69.400000000000006</v>
      </c>
      <c r="O8" s="22">
        <v>9.3000000000000007</v>
      </c>
      <c r="P8" s="16">
        <v>28</v>
      </c>
      <c r="Q8" s="16">
        <v>291000</v>
      </c>
      <c r="R8" s="17">
        <v>47.3</v>
      </c>
      <c r="S8" s="17">
        <v>21.6</v>
      </c>
      <c r="T8" s="17">
        <v>2.2000000000000002</v>
      </c>
      <c r="U8" s="131" t="s">
        <v>13</v>
      </c>
      <c r="V8" s="131"/>
      <c r="W8" s="131"/>
      <c r="X8" s="131"/>
      <c r="Y8" s="131"/>
      <c r="Z8" t="s">
        <v>63</v>
      </c>
    </row>
    <row r="9" spans="1:26" ht="13.2" thickBot="1" x14ac:dyDescent="0.25">
      <c r="A9" s="18" t="s">
        <v>20</v>
      </c>
      <c r="B9" s="19" t="s">
        <v>18</v>
      </c>
      <c r="C9" s="18">
        <v>139</v>
      </c>
      <c r="D9" s="19" t="s">
        <v>10</v>
      </c>
      <c r="E9" s="18">
        <v>94</v>
      </c>
      <c r="F9" s="18">
        <v>91.6</v>
      </c>
      <c r="G9" s="18">
        <v>9.3000000000000007</v>
      </c>
      <c r="H9" s="20">
        <v>1989000</v>
      </c>
      <c r="I9" s="18">
        <v>27</v>
      </c>
      <c r="J9" s="20">
        <v>445000</v>
      </c>
      <c r="K9" s="21">
        <v>47.3</v>
      </c>
      <c r="L9" s="21">
        <v>26.6</v>
      </c>
      <c r="M9" s="18">
        <v>1.8</v>
      </c>
      <c r="N9" s="18">
        <v>69.400000000000006</v>
      </c>
      <c r="O9" s="23">
        <v>9.3000000000000007</v>
      </c>
      <c r="P9" s="20">
        <v>28</v>
      </c>
      <c r="Q9" s="20">
        <v>408000</v>
      </c>
      <c r="R9" s="21">
        <v>47.3</v>
      </c>
      <c r="S9" s="21">
        <v>21.6</v>
      </c>
      <c r="T9" s="21">
        <v>2.2000000000000002</v>
      </c>
      <c r="U9" s="130"/>
      <c r="V9" s="130"/>
      <c r="W9" s="130"/>
      <c r="X9" s="130"/>
      <c r="Y9" s="130"/>
    </row>
    <row r="10" spans="1:26" ht="12.75" customHeight="1" x14ac:dyDescent="0.2">
      <c r="A10" t="s">
        <v>25</v>
      </c>
      <c r="B10" s="5" t="s">
        <v>18</v>
      </c>
      <c r="C10">
        <v>139</v>
      </c>
      <c r="D10" s="5" t="s">
        <v>10</v>
      </c>
      <c r="E10">
        <v>83</v>
      </c>
      <c r="F10" s="10">
        <v>124.5</v>
      </c>
      <c r="G10">
        <v>10.4</v>
      </c>
      <c r="H10" s="8">
        <v>2661000</v>
      </c>
      <c r="I10">
        <v>27</v>
      </c>
      <c r="J10" s="8">
        <v>-86000</v>
      </c>
      <c r="K10" s="10">
        <v>39</v>
      </c>
      <c r="L10" s="10">
        <v>34.700000000000003</v>
      </c>
      <c r="M10">
        <v>1.1000000000000001</v>
      </c>
      <c r="N10">
        <v>105.2</v>
      </c>
      <c r="O10" s="9">
        <v>10.4</v>
      </c>
      <c r="P10" s="8">
        <v>27</v>
      </c>
      <c r="Q10" s="8">
        <v>-107000</v>
      </c>
      <c r="R10" s="10">
        <v>39</v>
      </c>
      <c r="S10" s="10">
        <v>30.4</v>
      </c>
      <c r="T10" s="10">
        <v>1.3</v>
      </c>
      <c r="U10" s="129" t="s">
        <v>26</v>
      </c>
      <c r="V10" s="129"/>
      <c r="W10" s="129"/>
      <c r="X10" s="129"/>
      <c r="Y10" s="129"/>
      <c r="Z10" t="s">
        <v>62</v>
      </c>
    </row>
    <row r="11" spans="1:26" x14ac:dyDescent="0.2">
      <c r="A11" t="s">
        <v>21</v>
      </c>
      <c r="B11" s="11" t="s">
        <v>18</v>
      </c>
      <c r="C11">
        <v>139</v>
      </c>
      <c r="D11" s="11" t="s">
        <v>10</v>
      </c>
      <c r="E11">
        <v>83</v>
      </c>
      <c r="F11" s="10">
        <v>124.5</v>
      </c>
      <c r="G11">
        <v>10.4</v>
      </c>
      <c r="H11" s="8">
        <v>2661000</v>
      </c>
      <c r="I11">
        <v>27</v>
      </c>
      <c r="J11" s="8">
        <v>78000</v>
      </c>
      <c r="K11" s="10">
        <v>39</v>
      </c>
      <c r="L11" s="10">
        <v>34.700000000000003</v>
      </c>
      <c r="M11">
        <v>1.1000000000000001</v>
      </c>
      <c r="N11">
        <v>105.2</v>
      </c>
      <c r="O11" s="9">
        <v>10.4</v>
      </c>
      <c r="P11" s="8">
        <v>27</v>
      </c>
      <c r="Q11" s="8">
        <v>56000</v>
      </c>
      <c r="R11" s="10">
        <v>39</v>
      </c>
      <c r="S11" s="10">
        <v>30.4</v>
      </c>
      <c r="T11" s="10">
        <v>1.3</v>
      </c>
      <c r="U11" s="129"/>
      <c r="V11" s="129"/>
      <c r="W11" s="129"/>
      <c r="X11" s="129"/>
      <c r="Y11" s="129"/>
    </row>
    <row r="12" spans="1:26" ht="12.75" x14ac:dyDescent="0.2">
      <c r="B12" s="5"/>
      <c r="D12" s="5"/>
      <c r="H12" s="8"/>
      <c r="J12" s="8"/>
      <c r="N12" s="8"/>
      <c r="O12" s="8"/>
      <c r="Q12" s="8"/>
      <c r="T12" s="10"/>
    </row>
    <row r="13" spans="1:26" x14ac:dyDescent="0.2">
      <c r="A13" t="s">
        <v>1</v>
      </c>
      <c r="B13" s="132" t="s">
        <v>2</v>
      </c>
      <c r="C13" s="132"/>
      <c r="D13" s="133" t="s">
        <v>4</v>
      </c>
      <c r="E13" s="133"/>
      <c r="F13" t="s">
        <v>31</v>
      </c>
      <c r="H13" s="25" t="s">
        <v>8</v>
      </c>
      <c r="I13" s="3" t="s">
        <v>77</v>
      </c>
      <c r="J13" s="2" t="s">
        <v>78</v>
      </c>
      <c r="K13" t="s">
        <v>74</v>
      </c>
      <c r="L13" t="s">
        <v>75</v>
      </c>
      <c r="M13" t="s">
        <v>76</v>
      </c>
      <c r="N13" t="s">
        <v>7</v>
      </c>
      <c r="P13" s="3" t="s">
        <v>77</v>
      </c>
      <c r="Q13" s="2" t="s">
        <v>78</v>
      </c>
      <c r="R13" t="s">
        <v>74</v>
      </c>
      <c r="S13" t="s">
        <v>75</v>
      </c>
      <c r="T13" t="s">
        <v>76</v>
      </c>
      <c r="U13" t="s">
        <v>12</v>
      </c>
    </row>
    <row r="14" spans="1:26" x14ac:dyDescent="0.2">
      <c r="C14" s="24" t="s">
        <v>3</v>
      </c>
      <c r="E14" s="25" t="s">
        <v>3</v>
      </c>
      <c r="F14" t="s">
        <v>5</v>
      </c>
      <c r="G14" s="24" t="s">
        <v>6</v>
      </c>
      <c r="H14" s="2" t="s">
        <v>9</v>
      </c>
      <c r="I14" s="132">
        <v>21</v>
      </c>
      <c r="J14" s="132"/>
      <c r="K14" s="132"/>
      <c r="L14" s="132"/>
      <c r="M14" s="132"/>
      <c r="N14" t="s">
        <v>5</v>
      </c>
      <c r="O14" s="24" t="s">
        <v>6</v>
      </c>
      <c r="P14" s="132">
        <v>22</v>
      </c>
      <c r="Q14" s="132"/>
      <c r="R14" s="132"/>
      <c r="S14" s="132"/>
      <c r="T14" s="132"/>
    </row>
    <row r="15" spans="1:26" ht="12.75" x14ac:dyDescent="0.2">
      <c r="C15" s="24"/>
      <c r="E15" s="24"/>
      <c r="G15" s="24"/>
    </row>
    <row r="16" spans="1:26" x14ac:dyDescent="0.2">
      <c r="A16" t="s">
        <v>50</v>
      </c>
      <c r="B16" s="24" t="s">
        <v>18</v>
      </c>
      <c r="C16">
        <v>141</v>
      </c>
      <c r="D16" s="24" t="s">
        <v>60</v>
      </c>
      <c r="E16">
        <v>69</v>
      </c>
      <c r="F16">
        <v>341.9</v>
      </c>
      <c r="G16">
        <v>-6.2</v>
      </c>
      <c r="H16" s="8">
        <v>5851000</v>
      </c>
      <c r="I16">
        <v>30</v>
      </c>
      <c r="J16" s="8">
        <v>-1858000</v>
      </c>
      <c r="K16" s="37">
        <v>55.6</v>
      </c>
      <c r="L16" s="37">
        <v>73.7</v>
      </c>
      <c r="M16">
        <v>0.8</v>
      </c>
      <c r="N16">
        <v>319.39999999999998</v>
      </c>
      <c r="O16">
        <v>-6.2</v>
      </c>
      <c r="P16">
        <v>31</v>
      </c>
      <c r="Q16" s="8">
        <v>-1974000</v>
      </c>
      <c r="R16" s="10">
        <v>55.6</v>
      </c>
      <c r="S16" s="10">
        <v>68.599999999999994</v>
      </c>
      <c r="T16" s="10">
        <v>0.8</v>
      </c>
      <c r="U16" s="129" t="s">
        <v>14</v>
      </c>
      <c r="V16" s="129"/>
      <c r="W16" s="129"/>
      <c r="X16" s="129"/>
      <c r="Y16" s="129"/>
      <c r="Z16" t="s">
        <v>64</v>
      </c>
    </row>
    <row r="17" spans="1:26" ht="13.2" thickBot="1" x14ac:dyDescent="0.25">
      <c r="A17" t="s">
        <v>51</v>
      </c>
      <c r="B17" s="24" t="s">
        <v>18</v>
      </c>
      <c r="C17">
        <v>141</v>
      </c>
      <c r="D17" s="24" t="s">
        <v>60</v>
      </c>
      <c r="E17">
        <v>69</v>
      </c>
      <c r="F17">
        <v>341.9</v>
      </c>
      <c r="G17">
        <v>-6.2</v>
      </c>
      <c r="H17" s="8">
        <v>5851000</v>
      </c>
      <c r="I17">
        <v>30</v>
      </c>
      <c r="J17" s="8">
        <v>-1521000</v>
      </c>
      <c r="K17" s="37">
        <v>55.6</v>
      </c>
      <c r="L17" s="37">
        <v>73.7</v>
      </c>
      <c r="M17">
        <v>0.8</v>
      </c>
      <c r="N17">
        <v>319.39999999999998</v>
      </c>
      <c r="O17">
        <v>-6.2</v>
      </c>
      <c r="P17">
        <v>31</v>
      </c>
      <c r="Q17" s="8">
        <v>-1650000</v>
      </c>
      <c r="R17" s="10">
        <v>55.6</v>
      </c>
      <c r="S17" s="10">
        <v>68.599999999999994</v>
      </c>
      <c r="T17" s="10">
        <v>0.8</v>
      </c>
      <c r="U17" s="129"/>
      <c r="V17" s="129"/>
      <c r="W17" s="129"/>
      <c r="X17" s="129"/>
      <c r="Y17" s="129"/>
    </row>
    <row r="18" spans="1:26" x14ac:dyDescent="0.2">
      <c r="A18" s="14" t="s">
        <v>52</v>
      </c>
      <c r="B18" s="15" t="s">
        <v>18</v>
      </c>
      <c r="C18" s="14">
        <v>141</v>
      </c>
      <c r="D18" s="15" t="s">
        <v>10</v>
      </c>
      <c r="E18" s="14">
        <v>93</v>
      </c>
      <c r="F18" s="14">
        <v>214.5</v>
      </c>
      <c r="G18" s="14">
        <v>9.3000000000000007</v>
      </c>
      <c r="H18" s="16">
        <v>1602000</v>
      </c>
      <c r="I18" s="14">
        <v>13</v>
      </c>
      <c r="J18" s="16">
        <v>1198000</v>
      </c>
      <c r="K18" s="38">
        <v>37.1</v>
      </c>
      <c r="L18" s="38">
        <v>54.5</v>
      </c>
      <c r="M18" s="14">
        <v>0.7</v>
      </c>
      <c r="N18" s="14">
        <v>180.1</v>
      </c>
      <c r="O18" s="22">
        <v>9.3000000000000007</v>
      </c>
      <c r="P18" s="16">
        <v>14</v>
      </c>
      <c r="Q18" s="16">
        <v>1110000</v>
      </c>
      <c r="R18" s="17">
        <v>37.1</v>
      </c>
      <c r="S18" s="17">
        <v>46.7</v>
      </c>
      <c r="T18" s="17">
        <v>0.8</v>
      </c>
      <c r="U18" s="131" t="s">
        <v>13</v>
      </c>
      <c r="V18" s="131"/>
      <c r="W18" s="131"/>
      <c r="X18" s="131"/>
      <c r="Y18" s="131"/>
      <c r="Z18" t="s">
        <v>63</v>
      </c>
    </row>
    <row r="19" spans="1:26" ht="13.2" thickBot="1" x14ac:dyDescent="0.25">
      <c r="A19" s="18" t="s">
        <v>53</v>
      </c>
      <c r="B19" s="19" t="s">
        <v>18</v>
      </c>
      <c r="C19" s="18">
        <v>141</v>
      </c>
      <c r="D19" s="19" t="s">
        <v>10</v>
      </c>
      <c r="E19" s="18">
        <v>93</v>
      </c>
      <c r="F19" s="18">
        <v>214.5</v>
      </c>
      <c r="G19" s="18">
        <v>9.3000000000000007</v>
      </c>
      <c r="H19" s="20">
        <v>1602000</v>
      </c>
      <c r="I19" s="18">
        <v>13</v>
      </c>
      <c r="J19" s="20">
        <v>1402000</v>
      </c>
      <c r="K19" s="39">
        <v>37.1</v>
      </c>
      <c r="L19" s="39">
        <v>54.5</v>
      </c>
      <c r="M19" s="18">
        <v>0.7</v>
      </c>
      <c r="N19" s="18">
        <v>180.1</v>
      </c>
      <c r="O19" s="23">
        <v>9.3000000000000007</v>
      </c>
      <c r="P19" s="20">
        <v>14</v>
      </c>
      <c r="Q19" s="20">
        <v>1304000</v>
      </c>
      <c r="R19" s="21">
        <v>37.1</v>
      </c>
      <c r="S19" s="21">
        <v>46.7</v>
      </c>
      <c r="T19" s="21">
        <v>0.8</v>
      </c>
      <c r="U19" s="130"/>
      <c r="V19" s="130"/>
      <c r="W19" s="130"/>
      <c r="X19" s="130"/>
      <c r="Y19" s="130"/>
    </row>
    <row r="20" spans="1:26" x14ac:dyDescent="0.2">
      <c r="A20" t="s">
        <v>54</v>
      </c>
      <c r="B20" s="24" t="s">
        <v>18</v>
      </c>
      <c r="C20" s="28">
        <v>141</v>
      </c>
      <c r="D20" s="24" t="s">
        <v>10</v>
      </c>
      <c r="E20" s="28">
        <v>91</v>
      </c>
      <c r="F20" s="10">
        <v>276.2</v>
      </c>
      <c r="G20" s="28">
        <v>-15.6</v>
      </c>
      <c r="H20" s="8">
        <v>4836000</v>
      </c>
      <c r="I20" s="28">
        <v>34</v>
      </c>
      <c r="J20" s="8">
        <v>-2074000</v>
      </c>
      <c r="K20" s="37">
        <v>35.799999999999997</v>
      </c>
      <c r="L20" s="40">
        <v>53</v>
      </c>
      <c r="M20" s="28">
        <v>0.7</v>
      </c>
      <c r="N20" s="28">
        <v>247.4</v>
      </c>
      <c r="O20" s="9">
        <v>-15.6</v>
      </c>
      <c r="P20" s="8">
        <v>35</v>
      </c>
      <c r="Q20" s="8">
        <v>-2122000</v>
      </c>
      <c r="R20" s="10">
        <v>35.799999999999997</v>
      </c>
      <c r="S20" s="10">
        <v>46.5</v>
      </c>
      <c r="T20" s="10">
        <v>0.8</v>
      </c>
      <c r="U20" s="129" t="s">
        <v>61</v>
      </c>
      <c r="V20" s="129"/>
      <c r="W20" s="129"/>
      <c r="X20" s="129"/>
      <c r="Y20" s="129"/>
      <c r="Z20" t="s">
        <v>62</v>
      </c>
    </row>
    <row r="21" spans="1:26" x14ac:dyDescent="0.2">
      <c r="A21" t="s">
        <v>55</v>
      </c>
      <c r="B21" s="24" t="s">
        <v>18</v>
      </c>
      <c r="C21" s="28">
        <v>141</v>
      </c>
      <c r="D21" s="24" t="s">
        <v>10</v>
      </c>
      <c r="E21" s="28">
        <v>91</v>
      </c>
      <c r="F21" s="10">
        <v>276.2</v>
      </c>
      <c r="G21" s="28">
        <v>-15.6</v>
      </c>
      <c r="H21" s="8">
        <v>4836000</v>
      </c>
      <c r="I21" s="28">
        <v>34</v>
      </c>
      <c r="J21" s="8">
        <v>-1815000</v>
      </c>
      <c r="K21" s="37">
        <v>35.799999999999997</v>
      </c>
      <c r="L21" s="40">
        <v>53</v>
      </c>
      <c r="M21" s="28">
        <v>0.7</v>
      </c>
      <c r="N21" s="28">
        <v>247.4</v>
      </c>
      <c r="O21" s="9">
        <v>-15.6</v>
      </c>
      <c r="P21" s="8">
        <v>35</v>
      </c>
      <c r="Q21" s="8">
        <v>-1869000</v>
      </c>
      <c r="R21" s="10">
        <v>35.799999999999997</v>
      </c>
      <c r="S21" s="10">
        <v>46.5</v>
      </c>
      <c r="T21" s="10">
        <v>0.8</v>
      </c>
      <c r="U21" s="129"/>
      <c r="V21" s="129"/>
      <c r="W21" s="129"/>
      <c r="X21" s="129"/>
      <c r="Y21" s="129"/>
    </row>
    <row r="23" spans="1:26" ht="13.5" thickBot="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5" spans="1:26" ht="12.75" customHeight="1" x14ac:dyDescent="0.2"/>
    <row r="26" spans="1:26" ht="12.75" customHeight="1" x14ac:dyDescent="0.2">
      <c r="A26" t="s">
        <v>1</v>
      </c>
      <c r="B26" s="132" t="s">
        <v>2</v>
      </c>
      <c r="C26" s="132"/>
      <c r="D26" s="133" t="s">
        <v>4</v>
      </c>
      <c r="E26" s="133"/>
      <c r="F26" t="s">
        <v>31</v>
      </c>
      <c r="H26" s="13" t="s">
        <v>8</v>
      </c>
      <c r="I26" s="3" t="s">
        <v>77</v>
      </c>
      <c r="J26" s="2" t="s">
        <v>78</v>
      </c>
      <c r="K26" t="s">
        <v>74</v>
      </c>
      <c r="L26" t="s">
        <v>75</v>
      </c>
      <c r="M26" t="s">
        <v>76</v>
      </c>
      <c r="N26" t="s">
        <v>7</v>
      </c>
      <c r="P26" s="3" t="s">
        <v>77</v>
      </c>
      <c r="Q26" s="2" t="s">
        <v>78</v>
      </c>
      <c r="R26" t="s">
        <v>74</v>
      </c>
      <c r="S26" t="s">
        <v>75</v>
      </c>
      <c r="T26" t="s">
        <v>76</v>
      </c>
      <c r="U26" t="s">
        <v>12</v>
      </c>
    </row>
    <row r="27" spans="1:26" ht="12.75" customHeight="1" x14ac:dyDescent="0.2">
      <c r="C27" s="12" t="s">
        <v>3</v>
      </c>
      <c r="E27" s="13" t="s">
        <v>3</v>
      </c>
      <c r="F27" t="s">
        <v>5</v>
      </c>
      <c r="G27" s="12" t="s">
        <v>6</v>
      </c>
      <c r="H27" s="2" t="s">
        <v>9</v>
      </c>
      <c r="I27" s="132">
        <v>21</v>
      </c>
      <c r="J27" s="132"/>
      <c r="K27" s="132"/>
      <c r="L27" s="132"/>
      <c r="M27" s="132"/>
      <c r="N27" t="s">
        <v>5</v>
      </c>
      <c r="O27" s="12" t="s">
        <v>6</v>
      </c>
      <c r="P27" s="132">
        <v>22</v>
      </c>
      <c r="Q27" s="132"/>
      <c r="R27" s="132"/>
      <c r="S27" s="132"/>
      <c r="T27" s="132"/>
    </row>
    <row r="28" spans="1:26" ht="12.75" customHeight="1" x14ac:dyDescent="0.2">
      <c r="C28" s="12"/>
      <c r="E28" s="12"/>
      <c r="G28" s="12"/>
    </row>
    <row r="29" spans="1:26" ht="12.75" customHeight="1" x14ac:dyDescent="0.2">
      <c r="A29" t="s">
        <v>27</v>
      </c>
      <c r="B29" s="24" t="s">
        <v>32</v>
      </c>
      <c r="C29">
        <v>202</v>
      </c>
      <c r="D29" s="24" t="s">
        <v>11</v>
      </c>
      <c r="E29">
        <v>38</v>
      </c>
      <c r="F29">
        <v>31.7</v>
      </c>
      <c r="G29">
        <v>-2.1</v>
      </c>
      <c r="H29" s="8">
        <v>523000</v>
      </c>
      <c r="I29">
        <v>15</v>
      </c>
      <c r="J29" s="8">
        <v>208000</v>
      </c>
      <c r="K29" s="10">
        <v>30.5</v>
      </c>
      <c r="L29" s="10">
        <v>8.1</v>
      </c>
      <c r="M29">
        <v>3.8</v>
      </c>
      <c r="N29">
        <v>31.7</v>
      </c>
      <c r="O29">
        <v>-2.2000000000000002</v>
      </c>
      <c r="P29">
        <v>15</v>
      </c>
      <c r="Q29" s="8">
        <v>205000</v>
      </c>
      <c r="R29" s="10">
        <v>30.5</v>
      </c>
      <c r="S29" s="10">
        <v>8</v>
      </c>
      <c r="T29" s="10">
        <v>3.8</v>
      </c>
      <c r="U29" s="129" t="s">
        <v>14</v>
      </c>
      <c r="V29" s="129"/>
      <c r="W29" s="129"/>
      <c r="X29" s="129"/>
      <c r="Y29" s="129"/>
      <c r="Z29" t="s">
        <v>65</v>
      </c>
    </row>
    <row r="30" spans="1:26" ht="13.2" thickBot="1" x14ac:dyDescent="0.25">
      <c r="A30" t="s">
        <v>28</v>
      </c>
      <c r="B30" s="24" t="s">
        <v>32</v>
      </c>
      <c r="C30">
        <v>202</v>
      </c>
      <c r="D30" s="24" t="s">
        <v>11</v>
      </c>
      <c r="E30">
        <v>38</v>
      </c>
      <c r="F30">
        <v>31.7</v>
      </c>
      <c r="G30">
        <v>-2.1</v>
      </c>
      <c r="H30" s="8">
        <v>523000</v>
      </c>
      <c r="I30">
        <v>15</v>
      </c>
      <c r="J30" s="8">
        <v>267000</v>
      </c>
      <c r="K30" s="10">
        <v>30.5</v>
      </c>
      <c r="L30" s="10">
        <v>8.1</v>
      </c>
      <c r="M30">
        <v>3.8</v>
      </c>
      <c r="N30">
        <v>31.7</v>
      </c>
      <c r="O30">
        <v>-2.2000000000000002</v>
      </c>
      <c r="P30">
        <v>15</v>
      </c>
      <c r="Q30" s="8">
        <v>265000</v>
      </c>
      <c r="R30" s="10">
        <v>30.5</v>
      </c>
      <c r="S30" s="10">
        <v>8</v>
      </c>
      <c r="T30" s="10">
        <v>3.8</v>
      </c>
      <c r="U30" s="130"/>
      <c r="V30" s="130"/>
      <c r="W30" s="130"/>
      <c r="X30" s="130"/>
      <c r="Y30" s="130"/>
    </row>
    <row r="31" spans="1:26" ht="12.75" customHeight="1" x14ac:dyDescent="0.2">
      <c r="A31" s="14" t="s">
        <v>29</v>
      </c>
      <c r="B31" s="15" t="s">
        <v>32</v>
      </c>
      <c r="C31" s="14">
        <v>202</v>
      </c>
      <c r="D31" s="15" t="s">
        <v>10</v>
      </c>
      <c r="E31" s="14">
        <v>119</v>
      </c>
      <c r="F31" s="14">
        <v>31.7</v>
      </c>
      <c r="G31" s="14">
        <v>-6.7</v>
      </c>
      <c r="H31" s="16">
        <v>332000</v>
      </c>
      <c r="I31" s="14">
        <v>14</v>
      </c>
      <c r="J31" s="16">
        <v>140000</v>
      </c>
      <c r="K31" s="17">
        <v>17.100000000000001</v>
      </c>
      <c r="L31" s="17">
        <v>5.2</v>
      </c>
      <c r="M31" s="14">
        <v>3.3</v>
      </c>
      <c r="N31" s="14">
        <v>31.7</v>
      </c>
      <c r="O31" s="22">
        <v>-7.1</v>
      </c>
      <c r="P31" s="16">
        <v>14</v>
      </c>
      <c r="Q31" s="16">
        <v>132000</v>
      </c>
      <c r="R31" s="17">
        <v>17.100000000000001</v>
      </c>
      <c r="S31" s="17">
        <v>5</v>
      </c>
      <c r="T31" s="17">
        <v>3.4</v>
      </c>
      <c r="U31" s="131" t="s">
        <v>33</v>
      </c>
      <c r="V31" s="131"/>
      <c r="W31" s="131"/>
      <c r="X31" s="131"/>
      <c r="Y31" s="131"/>
      <c r="Z31" t="s">
        <v>62</v>
      </c>
    </row>
    <row r="32" spans="1:26" ht="13.2" thickBot="1" x14ac:dyDescent="0.25">
      <c r="A32" s="18" t="s">
        <v>30</v>
      </c>
      <c r="B32" s="19" t="s">
        <v>32</v>
      </c>
      <c r="C32" s="18">
        <v>202</v>
      </c>
      <c r="D32" s="19" t="s">
        <v>10</v>
      </c>
      <c r="E32" s="18">
        <v>119</v>
      </c>
      <c r="F32" s="18">
        <v>31.7</v>
      </c>
      <c r="G32" s="18">
        <v>-6.7</v>
      </c>
      <c r="H32" s="20">
        <v>332000</v>
      </c>
      <c r="I32" s="18">
        <v>14</v>
      </c>
      <c r="J32" s="20">
        <v>185000</v>
      </c>
      <c r="K32" s="21">
        <v>17.100000000000001</v>
      </c>
      <c r="L32" s="21">
        <v>5.2</v>
      </c>
      <c r="M32" s="18">
        <v>3.3</v>
      </c>
      <c r="N32" s="18">
        <v>31.7</v>
      </c>
      <c r="O32" s="23">
        <v>-7.1</v>
      </c>
      <c r="P32" s="20">
        <v>14</v>
      </c>
      <c r="Q32" s="20">
        <v>176000</v>
      </c>
      <c r="R32" s="21">
        <v>17.100000000000001</v>
      </c>
      <c r="S32" s="21">
        <v>5</v>
      </c>
      <c r="T32" s="21">
        <v>3.4</v>
      </c>
      <c r="U32" s="130"/>
      <c r="V32" s="130"/>
      <c r="W32" s="130"/>
      <c r="X32" s="130"/>
      <c r="Y32" s="130"/>
    </row>
    <row r="33" spans="1:26" ht="12.75" x14ac:dyDescent="0.2">
      <c r="B33" s="24"/>
      <c r="D33" s="24"/>
      <c r="F33" s="10"/>
      <c r="H33" s="8"/>
      <c r="J33" s="8"/>
      <c r="O33" s="9"/>
      <c r="P33" s="8"/>
      <c r="Q33" s="8"/>
      <c r="T33" s="10"/>
      <c r="U33" s="26"/>
      <c r="V33" s="26"/>
      <c r="W33" s="26"/>
      <c r="X33" s="26"/>
      <c r="Y33" s="26"/>
    </row>
    <row r="34" spans="1:26" ht="12.75" customHeight="1" x14ac:dyDescent="0.2">
      <c r="A34" t="s">
        <v>1</v>
      </c>
      <c r="B34" s="24" t="s">
        <v>2</v>
      </c>
      <c r="C34" s="24"/>
      <c r="D34" s="25" t="s">
        <v>4</v>
      </c>
      <c r="E34" s="25"/>
      <c r="F34" t="s">
        <v>49</v>
      </c>
      <c r="H34" s="25" t="s">
        <v>8</v>
      </c>
      <c r="I34" s="3" t="s">
        <v>77</v>
      </c>
      <c r="J34" s="2" t="s">
        <v>78</v>
      </c>
      <c r="K34" t="s">
        <v>74</v>
      </c>
      <c r="L34" t="s">
        <v>75</v>
      </c>
      <c r="M34" t="s">
        <v>76</v>
      </c>
      <c r="N34" t="s">
        <v>7</v>
      </c>
      <c r="P34" s="3" t="s">
        <v>77</v>
      </c>
      <c r="Q34" s="2" t="s">
        <v>78</v>
      </c>
      <c r="R34" t="s">
        <v>74</v>
      </c>
      <c r="S34" t="s">
        <v>75</v>
      </c>
      <c r="T34" t="s">
        <v>76</v>
      </c>
      <c r="U34" t="s">
        <v>12</v>
      </c>
    </row>
    <row r="35" spans="1:26" x14ac:dyDescent="0.2">
      <c r="C35" s="24" t="s">
        <v>3</v>
      </c>
      <c r="E35" s="25" t="s">
        <v>3</v>
      </c>
      <c r="F35" t="s">
        <v>5</v>
      </c>
      <c r="G35" s="24" t="s">
        <v>6</v>
      </c>
      <c r="H35" s="2" t="s">
        <v>9</v>
      </c>
      <c r="I35" s="132">
        <v>20</v>
      </c>
      <c r="J35" s="132"/>
      <c r="K35" s="132"/>
      <c r="L35" s="132"/>
      <c r="M35" s="132"/>
      <c r="N35" t="s">
        <v>5</v>
      </c>
      <c r="O35" s="24" t="s">
        <v>6</v>
      </c>
      <c r="P35" s="132">
        <v>22</v>
      </c>
      <c r="Q35" s="132"/>
      <c r="R35" s="132"/>
      <c r="S35" s="132"/>
      <c r="T35" s="132"/>
    </row>
    <row r="36" spans="1:26" ht="12.75" customHeight="1" x14ac:dyDescent="0.2">
      <c r="C36" s="24"/>
      <c r="E36" s="24"/>
      <c r="G36" s="24"/>
    </row>
    <row r="37" spans="1:26" ht="12.75" customHeight="1" x14ac:dyDescent="0.2">
      <c r="A37" t="s">
        <v>39</v>
      </c>
      <c r="B37" s="24" t="s">
        <v>43</v>
      </c>
      <c r="C37">
        <v>354</v>
      </c>
      <c r="D37" s="24" t="s">
        <v>11</v>
      </c>
      <c r="E37">
        <v>45</v>
      </c>
      <c r="F37" s="10">
        <v>51</v>
      </c>
      <c r="G37">
        <v>-1.3</v>
      </c>
      <c r="H37" s="8">
        <v>630000</v>
      </c>
      <c r="I37">
        <v>11</v>
      </c>
      <c r="J37" s="8">
        <v>374000</v>
      </c>
      <c r="K37" s="10">
        <v>28.8</v>
      </c>
      <c r="L37" s="10">
        <v>14.3</v>
      </c>
      <c r="M37" s="10">
        <v>2</v>
      </c>
      <c r="N37" s="10">
        <v>51</v>
      </c>
      <c r="O37">
        <v>-1.8</v>
      </c>
      <c r="P37">
        <v>11</v>
      </c>
      <c r="Q37" s="8">
        <v>358000</v>
      </c>
      <c r="R37" s="10">
        <v>28.8</v>
      </c>
      <c r="S37" s="10">
        <v>14</v>
      </c>
      <c r="T37" s="10">
        <v>2.1</v>
      </c>
      <c r="U37" s="129" t="s">
        <v>71</v>
      </c>
      <c r="V37" s="129"/>
      <c r="W37" s="129"/>
      <c r="X37" s="129"/>
      <c r="Y37" s="129"/>
      <c r="Z37" t="s">
        <v>65</v>
      </c>
    </row>
    <row r="38" spans="1:26" x14ac:dyDescent="0.2">
      <c r="A38" t="s">
        <v>40</v>
      </c>
      <c r="B38" s="24" t="s">
        <v>43</v>
      </c>
      <c r="C38">
        <v>354</v>
      </c>
      <c r="D38" s="24" t="s">
        <v>11</v>
      </c>
      <c r="E38">
        <v>45</v>
      </c>
      <c r="F38" s="10">
        <v>51</v>
      </c>
      <c r="G38">
        <v>-1.3</v>
      </c>
      <c r="H38" s="8">
        <v>630000</v>
      </c>
      <c r="I38">
        <v>11</v>
      </c>
      <c r="J38" s="8">
        <v>474000</v>
      </c>
      <c r="K38" s="10">
        <v>28.8</v>
      </c>
      <c r="L38" s="10">
        <v>14.3</v>
      </c>
      <c r="M38" s="10">
        <v>2</v>
      </c>
      <c r="N38" s="10">
        <v>51</v>
      </c>
      <c r="O38">
        <v>-1.8</v>
      </c>
      <c r="P38">
        <v>11</v>
      </c>
      <c r="Q38" s="8">
        <v>456000</v>
      </c>
      <c r="R38" s="10">
        <v>28.8</v>
      </c>
      <c r="S38" s="10">
        <v>14</v>
      </c>
      <c r="T38" s="10">
        <v>2.1</v>
      </c>
      <c r="U38" s="128"/>
      <c r="V38" s="128"/>
      <c r="W38" s="128"/>
      <c r="X38" s="128"/>
      <c r="Y38" s="128"/>
    </row>
    <row r="39" spans="1:26" x14ac:dyDescent="0.2">
      <c r="A39" t="s">
        <v>69</v>
      </c>
      <c r="B39" s="24" t="s">
        <v>43</v>
      </c>
      <c r="C39">
        <v>354</v>
      </c>
      <c r="D39" s="24" t="s">
        <v>60</v>
      </c>
      <c r="E39">
        <v>81</v>
      </c>
      <c r="F39" s="10">
        <v>35.5</v>
      </c>
      <c r="G39">
        <v>3.4</v>
      </c>
      <c r="H39" s="8">
        <v>434000</v>
      </c>
      <c r="I39">
        <v>9</v>
      </c>
      <c r="J39" s="8">
        <v>450000</v>
      </c>
      <c r="K39" s="10">
        <v>14.4</v>
      </c>
      <c r="L39" s="10">
        <v>13.7</v>
      </c>
      <c r="M39">
        <v>1.1000000000000001</v>
      </c>
      <c r="N39" s="10">
        <v>33.700000000000003</v>
      </c>
      <c r="O39">
        <v>3.4</v>
      </c>
      <c r="P39">
        <v>9</v>
      </c>
      <c r="Q39" s="8">
        <v>412000</v>
      </c>
      <c r="R39" s="10">
        <v>14.4</v>
      </c>
      <c r="S39" s="10">
        <v>13.3</v>
      </c>
      <c r="T39" s="10">
        <v>1.1000000000000001</v>
      </c>
      <c r="U39" s="129" t="s">
        <v>72</v>
      </c>
      <c r="V39" s="129"/>
      <c r="W39" s="129"/>
      <c r="X39" s="129"/>
      <c r="Y39" s="129"/>
    </row>
    <row r="40" spans="1:26" ht="13.2" thickBot="1" x14ac:dyDescent="0.25">
      <c r="A40" t="s">
        <v>70</v>
      </c>
      <c r="B40" s="24" t="s">
        <v>43</v>
      </c>
      <c r="C40">
        <v>354</v>
      </c>
      <c r="D40" s="24" t="s">
        <v>60</v>
      </c>
      <c r="E40">
        <v>81</v>
      </c>
      <c r="F40" s="10">
        <v>35.5</v>
      </c>
      <c r="G40">
        <v>3.4</v>
      </c>
      <c r="H40" s="8">
        <v>434000</v>
      </c>
      <c r="I40">
        <v>9</v>
      </c>
      <c r="J40" s="8">
        <v>533000</v>
      </c>
      <c r="K40" s="10">
        <v>14.4</v>
      </c>
      <c r="L40" s="10">
        <v>13.7</v>
      </c>
      <c r="M40">
        <v>1.1000000000000001</v>
      </c>
      <c r="N40" s="10">
        <v>33.700000000000003</v>
      </c>
      <c r="O40">
        <v>3.4</v>
      </c>
      <c r="P40">
        <v>9</v>
      </c>
      <c r="Q40" s="8">
        <v>490000</v>
      </c>
      <c r="R40" s="10">
        <v>14.4</v>
      </c>
      <c r="S40" s="10">
        <v>13.3</v>
      </c>
      <c r="T40" s="10">
        <v>1.1000000000000001</v>
      </c>
      <c r="U40" s="128"/>
      <c r="V40" s="128"/>
      <c r="W40" s="128"/>
      <c r="X40" s="128"/>
      <c r="Y40" s="128"/>
    </row>
    <row r="41" spans="1:26" ht="12.75" customHeight="1" x14ac:dyDescent="0.2">
      <c r="A41" s="14" t="s">
        <v>41</v>
      </c>
      <c r="B41" s="15" t="s">
        <v>38</v>
      </c>
      <c r="C41" s="14">
        <v>256</v>
      </c>
      <c r="D41" s="15" t="s">
        <v>11</v>
      </c>
      <c r="E41" s="14">
        <v>49</v>
      </c>
      <c r="F41" s="14">
        <v>37.299999999999997</v>
      </c>
      <c r="G41" s="14">
        <v>-1.5</v>
      </c>
      <c r="H41" s="16">
        <v>592000</v>
      </c>
      <c r="I41" s="14">
        <v>15</v>
      </c>
      <c r="J41" s="16">
        <v>71000</v>
      </c>
      <c r="K41" s="17">
        <v>27</v>
      </c>
      <c r="L41" s="17">
        <v>10.1</v>
      </c>
      <c r="M41" s="14">
        <v>2.7</v>
      </c>
      <c r="N41" s="14">
        <v>37.299999999999997</v>
      </c>
      <c r="O41" s="22">
        <v>-2.1</v>
      </c>
      <c r="P41" s="16">
        <v>15</v>
      </c>
      <c r="Q41" s="16">
        <v>56000</v>
      </c>
      <c r="R41" s="17">
        <v>27</v>
      </c>
      <c r="S41" s="17">
        <v>9.8000000000000007</v>
      </c>
      <c r="T41" s="17">
        <v>2.8</v>
      </c>
      <c r="U41" s="131" t="s">
        <v>14</v>
      </c>
      <c r="V41" s="131"/>
      <c r="W41" s="131"/>
      <c r="X41" s="131"/>
      <c r="Y41" s="131"/>
      <c r="Z41" t="s">
        <v>65</v>
      </c>
    </row>
    <row r="42" spans="1:26" x14ac:dyDescent="0.2">
      <c r="A42" s="29" t="s">
        <v>42</v>
      </c>
      <c r="B42" s="30" t="s">
        <v>38</v>
      </c>
      <c r="C42" s="29">
        <v>256</v>
      </c>
      <c r="D42" s="30" t="s">
        <v>11</v>
      </c>
      <c r="E42" s="29">
        <v>49</v>
      </c>
      <c r="F42" s="29">
        <v>37.299999999999997</v>
      </c>
      <c r="G42" s="29">
        <v>-1.5</v>
      </c>
      <c r="H42" s="31">
        <v>592000</v>
      </c>
      <c r="I42" s="29">
        <v>15</v>
      </c>
      <c r="J42" s="31">
        <v>137000</v>
      </c>
      <c r="K42" s="41">
        <v>27</v>
      </c>
      <c r="L42" s="41">
        <v>10.1</v>
      </c>
      <c r="M42" s="29">
        <v>2.7</v>
      </c>
      <c r="N42" s="29">
        <v>37.299999999999997</v>
      </c>
      <c r="O42" s="32">
        <v>-2.1</v>
      </c>
      <c r="P42" s="31">
        <v>15</v>
      </c>
      <c r="Q42" s="31">
        <v>120000</v>
      </c>
      <c r="R42" s="10">
        <v>27</v>
      </c>
      <c r="S42" s="10">
        <v>9.8000000000000007</v>
      </c>
      <c r="T42" s="33">
        <v>2.8</v>
      </c>
      <c r="U42" s="128"/>
      <c r="V42" s="128"/>
      <c r="W42" s="128"/>
      <c r="X42" s="128"/>
      <c r="Y42" s="128"/>
    </row>
    <row r="43" spans="1:26" x14ac:dyDescent="0.2">
      <c r="A43" s="29" t="s">
        <v>67</v>
      </c>
      <c r="B43" s="30" t="s">
        <v>38</v>
      </c>
      <c r="C43" s="29">
        <v>256</v>
      </c>
      <c r="D43" s="30" t="s">
        <v>60</v>
      </c>
      <c r="E43" s="29">
        <v>84</v>
      </c>
      <c r="F43" s="29">
        <v>21.2</v>
      </c>
      <c r="G43" s="29">
        <v>3.4</v>
      </c>
      <c r="H43" s="31">
        <v>396000</v>
      </c>
      <c r="I43" s="29">
        <v>13</v>
      </c>
      <c r="J43" s="31">
        <v>163000</v>
      </c>
      <c r="K43" s="41">
        <v>12.5</v>
      </c>
      <c r="L43" s="41">
        <v>9.5</v>
      </c>
      <c r="M43" s="29">
        <v>1.3</v>
      </c>
      <c r="N43" s="29">
        <v>19.2</v>
      </c>
      <c r="O43" s="32">
        <v>3.4</v>
      </c>
      <c r="P43" s="31">
        <v>14</v>
      </c>
      <c r="Q43" s="31">
        <v>122000</v>
      </c>
      <c r="R43" s="10">
        <v>12.5</v>
      </c>
      <c r="S43" s="10">
        <v>9</v>
      </c>
      <c r="T43" s="33">
        <v>1.4</v>
      </c>
      <c r="U43" s="128" t="s">
        <v>14</v>
      </c>
      <c r="V43" s="128"/>
      <c r="W43" s="128"/>
      <c r="X43" s="128"/>
      <c r="Y43" s="128"/>
    </row>
    <row r="44" spans="1:26" x14ac:dyDescent="0.2">
      <c r="A44" s="29" t="s">
        <v>68</v>
      </c>
      <c r="B44" s="30" t="s">
        <v>38</v>
      </c>
      <c r="C44" s="29">
        <v>256</v>
      </c>
      <c r="D44" s="30" t="s">
        <v>60</v>
      </c>
      <c r="E44" s="29">
        <v>84</v>
      </c>
      <c r="F44" s="29">
        <v>21.2</v>
      </c>
      <c r="G44" s="29">
        <v>3.4</v>
      </c>
      <c r="H44" s="31">
        <v>396000</v>
      </c>
      <c r="I44" s="29">
        <v>13</v>
      </c>
      <c r="J44" s="31">
        <v>215000</v>
      </c>
      <c r="K44" s="41">
        <v>12.5</v>
      </c>
      <c r="L44" s="41">
        <v>9.5</v>
      </c>
      <c r="M44" s="29">
        <v>1.3</v>
      </c>
      <c r="N44" s="29">
        <v>19.2</v>
      </c>
      <c r="O44" s="32">
        <v>3.4</v>
      </c>
      <c r="P44" s="31">
        <v>14</v>
      </c>
      <c r="Q44" s="31">
        <v>169000</v>
      </c>
      <c r="R44" s="10">
        <v>12.5</v>
      </c>
      <c r="S44" s="10">
        <v>9</v>
      </c>
      <c r="T44" s="33">
        <v>1.4</v>
      </c>
      <c r="U44" s="128"/>
      <c r="V44" s="128"/>
      <c r="W44" s="128"/>
      <c r="X44" s="128"/>
      <c r="Y44" s="128"/>
    </row>
    <row r="46" spans="1:26" ht="13.2" thickBo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9" spans="1:20" ht="12.75" customHeight="1" x14ac:dyDescent="0.2">
      <c r="A49" t="s">
        <v>1</v>
      </c>
      <c r="B49" s="24" t="s">
        <v>2</v>
      </c>
      <c r="C49" s="24"/>
      <c r="D49" s="25" t="s">
        <v>4</v>
      </c>
      <c r="E49" s="25"/>
      <c r="F49" t="s">
        <v>7</v>
      </c>
      <c r="H49" s="25" t="s">
        <v>8</v>
      </c>
      <c r="I49" s="3" t="s">
        <v>77</v>
      </c>
      <c r="J49" s="2" t="s">
        <v>78</v>
      </c>
      <c r="K49" t="s">
        <v>74</v>
      </c>
      <c r="L49" t="s">
        <v>75</v>
      </c>
      <c r="M49" t="s">
        <v>76</v>
      </c>
      <c r="N49" t="s">
        <v>12</v>
      </c>
    </row>
    <row r="50" spans="1:20" x14ac:dyDescent="0.2">
      <c r="C50" s="24" t="s">
        <v>3</v>
      </c>
      <c r="E50" s="25" t="s">
        <v>3</v>
      </c>
      <c r="F50" t="s">
        <v>5</v>
      </c>
      <c r="G50" s="24" t="s">
        <v>6</v>
      </c>
      <c r="H50" s="2" t="s">
        <v>9</v>
      </c>
      <c r="I50" s="132">
        <v>22</v>
      </c>
      <c r="J50" s="132"/>
      <c r="K50" s="132"/>
      <c r="L50" s="132"/>
      <c r="M50" s="132"/>
    </row>
    <row r="51" spans="1:20" ht="12.75" customHeight="1" x14ac:dyDescent="0.2">
      <c r="C51" s="24"/>
      <c r="E51" s="24"/>
      <c r="G51" s="24"/>
    </row>
    <row r="52" spans="1:20" ht="12.75" customHeight="1" x14ac:dyDescent="0.2">
      <c r="A52" t="s">
        <v>56</v>
      </c>
      <c r="B52" s="24" t="s">
        <v>32</v>
      </c>
      <c r="C52">
        <v>220</v>
      </c>
      <c r="D52" s="24" t="s">
        <v>60</v>
      </c>
      <c r="E52">
        <v>91</v>
      </c>
      <c r="F52">
        <v>51.4</v>
      </c>
      <c r="G52">
        <v>3.8</v>
      </c>
      <c r="H52" s="8">
        <v>1611000</v>
      </c>
      <c r="I52">
        <v>41</v>
      </c>
      <c r="J52" s="8">
        <v>-142000</v>
      </c>
      <c r="K52" s="10">
        <v>14.7</v>
      </c>
      <c r="L52" s="10">
        <v>14</v>
      </c>
      <c r="M52" s="10">
        <v>1</v>
      </c>
      <c r="N52" s="129" t="s">
        <v>14</v>
      </c>
      <c r="O52" s="129"/>
      <c r="P52" s="129"/>
      <c r="Q52" s="129"/>
      <c r="R52" t="s">
        <v>65</v>
      </c>
      <c r="S52" s="26"/>
      <c r="T52" s="26"/>
    </row>
    <row r="53" spans="1:20" ht="13.2" thickBot="1" x14ac:dyDescent="0.25">
      <c r="A53" t="s">
        <v>57</v>
      </c>
      <c r="B53" s="24" t="s">
        <v>32</v>
      </c>
      <c r="C53">
        <v>220</v>
      </c>
      <c r="D53" s="24" t="s">
        <v>60</v>
      </c>
      <c r="E53">
        <v>91</v>
      </c>
      <c r="F53">
        <v>51.4</v>
      </c>
      <c r="G53">
        <v>3.8</v>
      </c>
      <c r="H53" s="8">
        <v>1611000</v>
      </c>
      <c r="I53">
        <v>41</v>
      </c>
      <c r="J53" s="8">
        <v>-74000</v>
      </c>
      <c r="K53" s="10">
        <v>14.7</v>
      </c>
      <c r="L53" s="10">
        <v>14</v>
      </c>
      <c r="M53" s="10">
        <v>1</v>
      </c>
      <c r="N53" s="130"/>
      <c r="O53" s="130"/>
      <c r="P53" s="130"/>
      <c r="Q53" s="130"/>
      <c r="S53" s="34"/>
      <c r="T53" s="34"/>
    </row>
    <row r="54" spans="1:20" ht="12.75" customHeight="1" x14ac:dyDescent="0.2">
      <c r="A54" s="14" t="s">
        <v>58</v>
      </c>
      <c r="B54" s="15" t="s">
        <v>32</v>
      </c>
      <c r="C54" s="14">
        <v>220</v>
      </c>
      <c r="D54" s="15" t="s">
        <v>10</v>
      </c>
      <c r="E54" s="14">
        <v>104</v>
      </c>
      <c r="F54" s="14">
        <v>45.1</v>
      </c>
      <c r="G54" s="14">
        <v>3.8</v>
      </c>
      <c r="H54" s="16">
        <v>809000</v>
      </c>
      <c r="I54" s="14">
        <v>23</v>
      </c>
      <c r="J54" s="16">
        <v>-47000</v>
      </c>
      <c r="K54" s="17">
        <v>10.9</v>
      </c>
      <c r="L54" s="17">
        <v>12.6</v>
      </c>
      <c r="M54" s="14">
        <v>0.9</v>
      </c>
      <c r="N54" s="131" t="s">
        <v>66</v>
      </c>
      <c r="O54" s="131"/>
      <c r="P54" s="131"/>
      <c r="Q54" s="131"/>
      <c r="R54" t="s">
        <v>62</v>
      </c>
      <c r="S54" s="34"/>
      <c r="T54" s="34"/>
    </row>
    <row r="55" spans="1:20" ht="13.2" thickBot="1" x14ac:dyDescent="0.25">
      <c r="A55" s="18" t="s">
        <v>59</v>
      </c>
      <c r="B55" s="19" t="s">
        <v>32</v>
      </c>
      <c r="C55" s="18">
        <v>220</v>
      </c>
      <c r="D55" s="19" t="s">
        <v>10</v>
      </c>
      <c r="E55" s="18">
        <v>104</v>
      </c>
      <c r="F55" s="18">
        <v>45.1</v>
      </c>
      <c r="G55" s="18">
        <v>3.8</v>
      </c>
      <c r="H55" s="20">
        <v>809000</v>
      </c>
      <c r="I55" s="18">
        <v>23</v>
      </c>
      <c r="J55" s="20">
        <v>14000</v>
      </c>
      <c r="K55" s="21">
        <v>10.9</v>
      </c>
      <c r="L55" s="21">
        <v>12.6</v>
      </c>
      <c r="M55" s="18">
        <v>0.9</v>
      </c>
      <c r="N55" s="130"/>
      <c r="O55" s="130"/>
      <c r="P55" s="130"/>
      <c r="Q55" s="130"/>
      <c r="S55" s="34"/>
      <c r="T55" s="34"/>
    </row>
    <row r="57" spans="1:20" ht="12.75" customHeight="1" x14ac:dyDescent="0.2">
      <c r="A57" t="s">
        <v>1</v>
      </c>
      <c r="B57" s="24" t="s">
        <v>2</v>
      </c>
      <c r="C57" s="24"/>
      <c r="D57" s="25" t="s">
        <v>4</v>
      </c>
      <c r="E57" s="25"/>
      <c r="F57" t="s">
        <v>7</v>
      </c>
      <c r="H57" s="25" t="s">
        <v>8</v>
      </c>
      <c r="I57" s="3" t="s">
        <v>77</v>
      </c>
      <c r="J57" s="2" t="s">
        <v>78</v>
      </c>
      <c r="K57" t="s">
        <v>74</v>
      </c>
      <c r="L57" t="s">
        <v>75</v>
      </c>
      <c r="M57" t="s">
        <v>76</v>
      </c>
      <c r="N57" t="s">
        <v>12</v>
      </c>
    </row>
    <row r="58" spans="1:20" x14ac:dyDescent="0.2">
      <c r="C58" s="24" t="s">
        <v>3</v>
      </c>
      <c r="E58" s="25" t="s">
        <v>3</v>
      </c>
      <c r="F58" t="s">
        <v>5</v>
      </c>
      <c r="G58" s="24" t="s">
        <v>6</v>
      </c>
      <c r="H58" s="2" t="s">
        <v>9</v>
      </c>
      <c r="I58" s="132">
        <v>22</v>
      </c>
      <c r="J58" s="132"/>
      <c r="K58" s="132"/>
      <c r="L58" s="132"/>
      <c r="M58" s="132"/>
    </row>
    <row r="59" spans="1:20" ht="12.75" customHeight="1" x14ac:dyDescent="0.2">
      <c r="C59" s="24"/>
      <c r="E59" s="24"/>
      <c r="G59" s="24"/>
    </row>
    <row r="60" spans="1:20" ht="12.75" customHeight="1" x14ac:dyDescent="0.2">
      <c r="A60" t="s">
        <v>37</v>
      </c>
      <c r="B60" s="24" t="s">
        <v>38</v>
      </c>
      <c r="C60">
        <v>281</v>
      </c>
      <c r="D60" s="24" t="s">
        <v>11</v>
      </c>
      <c r="E60">
        <v>78</v>
      </c>
      <c r="F60">
        <v>59.2</v>
      </c>
      <c r="G60">
        <v>2.1</v>
      </c>
      <c r="H60" s="8">
        <v>766000</v>
      </c>
      <c r="I60">
        <v>18</v>
      </c>
      <c r="J60" s="8">
        <v>181000</v>
      </c>
      <c r="K60" s="9">
        <v>10.3</v>
      </c>
      <c r="L60" s="9">
        <v>14.7</v>
      </c>
      <c r="M60">
        <v>0.7</v>
      </c>
      <c r="N60" s="129" t="s">
        <v>14</v>
      </c>
      <c r="O60" s="129"/>
      <c r="P60" s="129"/>
      <c r="Q60" s="129"/>
      <c r="R60" t="s">
        <v>65</v>
      </c>
      <c r="S60" s="26"/>
      <c r="T60" s="26"/>
    </row>
    <row r="61" spans="1:20" ht="13.2" thickBot="1" x14ac:dyDescent="0.25">
      <c r="A61" t="s">
        <v>34</v>
      </c>
      <c r="B61" s="24" t="s">
        <v>38</v>
      </c>
      <c r="C61">
        <v>281</v>
      </c>
      <c r="D61" s="24" t="s">
        <v>11</v>
      </c>
      <c r="E61">
        <v>78</v>
      </c>
      <c r="F61">
        <v>59.2</v>
      </c>
      <c r="G61">
        <v>2.1</v>
      </c>
      <c r="H61" s="8">
        <v>766000</v>
      </c>
      <c r="I61">
        <v>18</v>
      </c>
      <c r="J61" s="8">
        <v>255000</v>
      </c>
      <c r="K61" s="9">
        <v>10.3</v>
      </c>
      <c r="L61" s="9">
        <v>14.7</v>
      </c>
      <c r="M61">
        <v>0.7</v>
      </c>
      <c r="N61" s="130"/>
      <c r="O61" s="130"/>
      <c r="P61" s="130"/>
      <c r="Q61" s="130"/>
      <c r="S61" s="34"/>
      <c r="T61" s="34"/>
    </row>
    <row r="62" spans="1:20" ht="12.75" customHeight="1" x14ac:dyDescent="0.2">
      <c r="A62" s="14" t="s">
        <v>35</v>
      </c>
      <c r="B62" s="15" t="s">
        <v>38</v>
      </c>
      <c r="C62" s="14">
        <v>281</v>
      </c>
      <c r="D62" s="15" t="s">
        <v>10</v>
      </c>
      <c r="E62" s="14">
        <v>106</v>
      </c>
      <c r="F62" s="14">
        <v>50.1</v>
      </c>
      <c r="G62" s="14">
        <v>2.1</v>
      </c>
      <c r="H62" s="16">
        <v>469000</v>
      </c>
      <c r="I62" s="14">
        <v>13</v>
      </c>
      <c r="J62" s="16">
        <v>222000</v>
      </c>
      <c r="K62" s="22">
        <v>5.8</v>
      </c>
      <c r="L62" s="22">
        <v>12.7</v>
      </c>
      <c r="M62" s="14">
        <v>0.5</v>
      </c>
      <c r="N62" s="131" t="s">
        <v>13</v>
      </c>
      <c r="O62" s="131"/>
      <c r="P62" s="131"/>
      <c r="Q62" s="131"/>
      <c r="R62" t="s">
        <v>73</v>
      </c>
      <c r="S62" s="34"/>
      <c r="T62" s="34"/>
    </row>
    <row r="63" spans="1:20" ht="13.2" thickBot="1" x14ac:dyDescent="0.25">
      <c r="A63" s="18" t="s">
        <v>36</v>
      </c>
      <c r="B63" s="19" t="s">
        <v>38</v>
      </c>
      <c r="C63" s="18">
        <v>281</v>
      </c>
      <c r="D63" s="19" t="s">
        <v>10</v>
      </c>
      <c r="E63" s="18">
        <v>106</v>
      </c>
      <c r="F63" s="18">
        <v>50.1</v>
      </c>
      <c r="G63" s="18">
        <v>2.1</v>
      </c>
      <c r="H63" s="20">
        <v>469000</v>
      </c>
      <c r="I63" s="18">
        <v>13</v>
      </c>
      <c r="J63" s="20">
        <v>286000</v>
      </c>
      <c r="K63" s="23">
        <v>5.8</v>
      </c>
      <c r="L63" s="23">
        <v>12.7</v>
      </c>
      <c r="M63" s="18">
        <v>0.5</v>
      </c>
      <c r="N63" s="130"/>
      <c r="O63" s="130"/>
      <c r="P63" s="130"/>
      <c r="Q63" s="130"/>
      <c r="S63" s="34"/>
      <c r="T63" s="34"/>
    </row>
    <row r="65" spans="1:20" x14ac:dyDescent="0.2">
      <c r="A65" t="s">
        <v>1</v>
      </c>
      <c r="B65" s="24" t="s">
        <v>2</v>
      </c>
      <c r="C65" s="24"/>
      <c r="D65" s="25" t="s">
        <v>4</v>
      </c>
      <c r="E65" s="25"/>
      <c r="F65" t="s">
        <v>7</v>
      </c>
      <c r="H65" s="25" t="s">
        <v>8</v>
      </c>
      <c r="I65" s="3" t="s">
        <v>77</v>
      </c>
      <c r="J65" s="2" t="s">
        <v>78</v>
      </c>
      <c r="K65" t="s">
        <v>74</v>
      </c>
      <c r="L65" t="s">
        <v>75</v>
      </c>
      <c r="M65" t="s">
        <v>76</v>
      </c>
      <c r="N65" t="s">
        <v>12</v>
      </c>
    </row>
    <row r="66" spans="1:20" x14ac:dyDescent="0.2">
      <c r="C66" s="24" t="s">
        <v>3</v>
      </c>
      <c r="E66" s="25" t="s">
        <v>3</v>
      </c>
      <c r="F66" t="s">
        <v>5</v>
      </c>
      <c r="G66" s="24" t="s">
        <v>6</v>
      </c>
      <c r="H66" s="2" t="s">
        <v>9</v>
      </c>
      <c r="I66" s="132">
        <v>22</v>
      </c>
      <c r="J66" s="132"/>
      <c r="K66" s="132"/>
      <c r="L66" s="132"/>
      <c r="M66" s="132"/>
    </row>
    <row r="67" spans="1:20" x14ac:dyDescent="0.2">
      <c r="C67" s="24"/>
      <c r="E67" s="24"/>
      <c r="G67" s="24"/>
    </row>
    <row r="68" spans="1:20" ht="12.75" customHeight="1" x14ac:dyDescent="0.2">
      <c r="A68" t="s">
        <v>44</v>
      </c>
      <c r="B68" s="24" t="s">
        <v>38</v>
      </c>
      <c r="C68">
        <v>220</v>
      </c>
      <c r="D68" s="24" t="s">
        <v>10</v>
      </c>
      <c r="E68">
        <v>120</v>
      </c>
      <c r="F68">
        <v>173.9</v>
      </c>
      <c r="G68">
        <v>14.5</v>
      </c>
      <c r="H68" s="8">
        <v>2945000</v>
      </c>
      <c r="I68">
        <v>21</v>
      </c>
      <c r="J68" s="8">
        <v>-99000</v>
      </c>
      <c r="K68" s="9">
        <v>52</v>
      </c>
      <c r="L68" s="9">
        <v>48.5</v>
      </c>
      <c r="M68">
        <v>1.1000000000000001</v>
      </c>
      <c r="N68" s="129" t="s">
        <v>14</v>
      </c>
      <c r="O68" s="129"/>
      <c r="P68" s="129"/>
      <c r="Q68" s="129"/>
      <c r="R68" t="s">
        <v>65</v>
      </c>
      <c r="S68" s="26"/>
      <c r="T68" s="26"/>
    </row>
    <row r="69" spans="1:20" ht="13.2" thickBot="1" x14ac:dyDescent="0.25">
      <c r="A69" t="s">
        <v>45</v>
      </c>
      <c r="B69" s="24" t="s">
        <v>38</v>
      </c>
      <c r="C69">
        <v>220</v>
      </c>
      <c r="D69" s="24" t="s">
        <v>10</v>
      </c>
      <c r="E69">
        <v>120</v>
      </c>
      <c r="F69">
        <v>173.9</v>
      </c>
      <c r="G69">
        <v>14.5</v>
      </c>
      <c r="H69" s="8">
        <v>2945000</v>
      </c>
      <c r="I69">
        <v>21</v>
      </c>
      <c r="J69" s="8">
        <v>131000</v>
      </c>
      <c r="K69" s="9">
        <v>52</v>
      </c>
      <c r="L69" s="9">
        <v>48.5</v>
      </c>
      <c r="M69">
        <v>1.1000000000000001</v>
      </c>
      <c r="N69" s="130"/>
      <c r="O69" s="130"/>
      <c r="P69" s="130"/>
      <c r="Q69" s="130"/>
      <c r="S69" s="34"/>
      <c r="T69" s="34"/>
    </row>
    <row r="70" spans="1:20" ht="12.75" customHeight="1" x14ac:dyDescent="0.2">
      <c r="A70" s="14" t="s">
        <v>47</v>
      </c>
      <c r="B70" s="15" t="s">
        <v>38</v>
      </c>
      <c r="C70" s="14">
        <v>220</v>
      </c>
      <c r="D70" s="15" t="s">
        <v>10</v>
      </c>
      <c r="E70" s="14">
        <v>128</v>
      </c>
      <c r="F70" s="14">
        <v>154.80000000000001</v>
      </c>
      <c r="G70" s="14">
        <v>14.5</v>
      </c>
      <c r="H70" s="16">
        <v>1617000</v>
      </c>
      <c r="I70" s="14">
        <v>13</v>
      </c>
      <c r="J70" s="16">
        <v>431000</v>
      </c>
      <c r="K70" s="22">
        <v>45</v>
      </c>
      <c r="L70" s="22">
        <v>44.2</v>
      </c>
      <c r="M70" s="17">
        <v>1</v>
      </c>
      <c r="N70" s="131" t="s">
        <v>46</v>
      </c>
      <c r="O70" s="131"/>
      <c r="P70" s="131"/>
      <c r="Q70" s="131"/>
      <c r="R70" t="s">
        <v>63</v>
      </c>
      <c r="S70" s="34"/>
      <c r="T70" s="34"/>
    </row>
    <row r="71" spans="1:20" ht="13.2" thickBot="1" x14ac:dyDescent="0.25">
      <c r="A71" s="18" t="s">
        <v>48</v>
      </c>
      <c r="B71" s="19" t="s">
        <v>38</v>
      </c>
      <c r="C71" s="18">
        <v>220</v>
      </c>
      <c r="D71" s="19" t="s">
        <v>10</v>
      </c>
      <c r="E71" s="18">
        <v>128</v>
      </c>
      <c r="F71" s="18">
        <v>154.80000000000001</v>
      </c>
      <c r="G71" s="18">
        <v>14.5</v>
      </c>
      <c r="H71" s="20">
        <v>1617000</v>
      </c>
      <c r="I71" s="18">
        <v>13</v>
      </c>
      <c r="J71" s="20">
        <v>631000</v>
      </c>
      <c r="K71" s="23">
        <v>45</v>
      </c>
      <c r="L71" s="23">
        <v>44.2</v>
      </c>
      <c r="M71" s="21">
        <v>1</v>
      </c>
      <c r="N71" s="130"/>
      <c r="O71" s="130"/>
      <c r="P71" s="130"/>
      <c r="Q71" s="130"/>
      <c r="R71" s="34"/>
      <c r="S71" s="34"/>
      <c r="T71" s="34"/>
    </row>
  </sheetData>
  <mergeCells count="35">
    <mergeCell ref="B3:C3"/>
    <mergeCell ref="D3:E3"/>
    <mergeCell ref="U10:Y11"/>
    <mergeCell ref="U6:Y7"/>
    <mergeCell ref="U8:Y9"/>
    <mergeCell ref="I4:M4"/>
    <mergeCell ref="P4:T4"/>
    <mergeCell ref="U29:Y30"/>
    <mergeCell ref="P35:T35"/>
    <mergeCell ref="P14:T14"/>
    <mergeCell ref="P27:T27"/>
    <mergeCell ref="U31:Y32"/>
    <mergeCell ref="B13:C13"/>
    <mergeCell ref="D13:E13"/>
    <mergeCell ref="N54:Q55"/>
    <mergeCell ref="N52:Q53"/>
    <mergeCell ref="U39:Y40"/>
    <mergeCell ref="U43:Y44"/>
    <mergeCell ref="U41:Y42"/>
    <mergeCell ref="U37:Y38"/>
    <mergeCell ref="B26:C26"/>
    <mergeCell ref="D26:E26"/>
    <mergeCell ref="I14:M14"/>
    <mergeCell ref="I27:M27"/>
    <mergeCell ref="I35:M35"/>
    <mergeCell ref="U16:Y17"/>
    <mergeCell ref="U18:Y19"/>
    <mergeCell ref="U20:Y21"/>
    <mergeCell ref="N60:Q61"/>
    <mergeCell ref="N62:Q63"/>
    <mergeCell ref="N68:Q69"/>
    <mergeCell ref="N70:Q71"/>
    <mergeCell ref="I50:M50"/>
    <mergeCell ref="I58:M58"/>
    <mergeCell ref="I66:M6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AC78"/>
  <sheetViews>
    <sheetView zoomScale="80" zoomScaleNormal="80" workbookViewId="0">
      <pane xSplit="1" topLeftCell="B1" activePane="topRight" state="frozen"/>
      <selection pane="topRight" activeCell="E3" sqref="E3:U8"/>
    </sheetView>
  </sheetViews>
  <sheetFormatPr defaultRowHeight="12.6" x14ac:dyDescent="0.2"/>
  <cols>
    <col min="1" max="1" width="38" customWidth="1"/>
    <col min="2" max="2" width="7.6328125" customWidth="1"/>
    <col min="3" max="3" width="4.26953125" customWidth="1"/>
    <col min="5" max="5" width="4.453125" customWidth="1"/>
    <col min="7" max="7" width="10.90625" hidden="1" customWidth="1"/>
    <col min="8" max="8" width="8.26953125" hidden="1" customWidth="1"/>
    <col min="9" max="9" width="11.6328125" customWidth="1"/>
    <col min="10" max="10" width="4.453125" hidden="1" customWidth="1"/>
    <col min="11" max="11" width="12.36328125" hidden="1" customWidth="1"/>
    <col min="12" max="12" width="15" hidden="1" customWidth="1"/>
    <col min="13" max="13" width="9.453125" hidden="1" customWidth="1"/>
    <col min="14" max="14" width="9.36328125" hidden="1" customWidth="1"/>
    <col min="15" max="15" width="10.36328125" customWidth="1"/>
    <col min="16" max="16" width="8.453125" customWidth="1"/>
    <col min="17" max="17" width="4.453125" bestFit="1" customWidth="1"/>
    <col min="18" max="18" width="11.90625" customWidth="1"/>
    <col min="19" max="19" width="14.36328125" customWidth="1"/>
    <col min="20" max="20" width="10.08984375" customWidth="1"/>
    <col min="21" max="21" width="9.36328125" customWidth="1"/>
    <col min="22" max="22" width="40.08984375" customWidth="1"/>
    <col min="23" max="23" width="30.90625" customWidth="1"/>
    <col min="26" max="26" width="11" customWidth="1"/>
    <col min="29" max="29" width="10.90625" customWidth="1"/>
  </cols>
  <sheetData>
    <row r="1" spans="1:28" x14ac:dyDescent="0.2">
      <c r="A1" t="s">
        <v>0</v>
      </c>
      <c r="C1" t="s">
        <v>86</v>
      </c>
    </row>
    <row r="3" spans="1:28" x14ac:dyDescent="0.2">
      <c r="A3" s="45" t="s">
        <v>1</v>
      </c>
      <c r="B3" s="85" t="s">
        <v>82</v>
      </c>
      <c r="C3" s="124" t="s">
        <v>2</v>
      </c>
      <c r="D3" s="124"/>
      <c r="E3" s="134" t="s">
        <v>4</v>
      </c>
      <c r="F3" s="134"/>
      <c r="G3" s="135" t="s">
        <v>31</v>
      </c>
      <c r="H3" s="135"/>
      <c r="I3" s="136" t="s">
        <v>8</v>
      </c>
      <c r="J3" s="137" t="s">
        <v>77</v>
      </c>
      <c r="K3" s="135" t="s">
        <v>78</v>
      </c>
      <c r="L3" s="135" t="s">
        <v>74</v>
      </c>
      <c r="M3" s="135" t="s">
        <v>75</v>
      </c>
      <c r="N3" s="138" t="s">
        <v>76</v>
      </c>
      <c r="O3" s="135" t="s">
        <v>7</v>
      </c>
      <c r="P3" s="135"/>
      <c r="Q3" s="137" t="s">
        <v>77</v>
      </c>
      <c r="R3" s="135" t="s">
        <v>78</v>
      </c>
      <c r="S3" s="135" t="s">
        <v>74</v>
      </c>
      <c r="T3" s="135" t="s">
        <v>75</v>
      </c>
      <c r="U3" s="135" t="s">
        <v>76</v>
      </c>
      <c r="V3" s="48" t="s">
        <v>12</v>
      </c>
      <c r="W3" s="48"/>
      <c r="X3" s="51"/>
      <c r="Y3" s="29"/>
      <c r="Z3" s="29"/>
      <c r="AA3" s="29"/>
      <c r="AB3" s="29"/>
    </row>
    <row r="4" spans="1:28" x14ac:dyDescent="0.2">
      <c r="A4" s="52"/>
      <c r="B4" s="29"/>
      <c r="C4" s="29"/>
      <c r="D4" s="29"/>
      <c r="E4" s="139"/>
      <c r="F4" s="139"/>
      <c r="G4" s="139" t="s">
        <v>5</v>
      </c>
      <c r="H4" s="140" t="s">
        <v>6</v>
      </c>
      <c r="I4" s="139" t="s">
        <v>9</v>
      </c>
      <c r="J4" s="141" t="s">
        <v>80</v>
      </c>
      <c r="K4" s="141"/>
      <c r="L4" s="141"/>
      <c r="M4" s="141"/>
      <c r="N4" s="142"/>
      <c r="O4" s="139" t="s">
        <v>5</v>
      </c>
      <c r="P4" s="140" t="s">
        <v>6</v>
      </c>
      <c r="Q4" s="141" t="s">
        <v>81</v>
      </c>
      <c r="R4" s="141"/>
      <c r="S4" s="141"/>
      <c r="T4" s="141"/>
      <c r="U4" s="141"/>
      <c r="V4" s="29"/>
      <c r="W4" s="29"/>
      <c r="X4" s="53"/>
      <c r="Y4" s="29"/>
      <c r="Z4" s="29"/>
      <c r="AA4" s="29"/>
      <c r="AB4" s="29"/>
    </row>
    <row r="5" spans="1:28" hidden="1" x14ac:dyDescent="0.2">
      <c r="A5" s="52"/>
      <c r="B5" s="29"/>
      <c r="C5" s="29"/>
      <c r="D5" s="84"/>
      <c r="E5" s="139"/>
      <c r="F5" s="140"/>
      <c r="G5" s="139"/>
      <c r="H5" s="140"/>
      <c r="I5" s="139"/>
      <c r="J5" s="139"/>
      <c r="K5" s="139"/>
      <c r="L5" s="139"/>
      <c r="M5" s="139"/>
      <c r="N5" s="143"/>
      <c r="O5" s="139"/>
      <c r="P5" s="139"/>
      <c r="Q5" s="139"/>
      <c r="R5" s="139"/>
      <c r="S5" s="139"/>
      <c r="T5" s="139"/>
      <c r="U5" s="139"/>
      <c r="V5" s="29"/>
      <c r="W5" s="29"/>
      <c r="X5" s="53"/>
      <c r="Y5" s="29"/>
      <c r="Z5" s="29"/>
      <c r="AA5" s="29"/>
      <c r="AB5" s="29"/>
    </row>
    <row r="6" spans="1:28" x14ac:dyDescent="0.2">
      <c r="A6" s="52"/>
      <c r="B6" s="84" t="s">
        <v>83</v>
      </c>
      <c r="C6" s="29"/>
      <c r="D6" s="84" t="s">
        <v>3</v>
      </c>
      <c r="E6" s="139"/>
      <c r="F6" s="140" t="s">
        <v>3</v>
      </c>
      <c r="G6" s="139" t="s">
        <v>3</v>
      </c>
      <c r="H6" s="140" t="s">
        <v>3</v>
      </c>
      <c r="I6" s="139" t="s">
        <v>84</v>
      </c>
      <c r="J6" s="139"/>
      <c r="K6" s="144" t="s">
        <v>84</v>
      </c>
      <c r="L6" s="145" t="s">
        <v>85</v>
      </c>
      <c r="M6" s="145"/>
      <c r="N6" s="143"/>
      <c r="O6" s="139" t="s">
        <v>3</v>
      </c>
      <c r="P6" s="139" t="s">
        <v>3</v>
      </c>
      <c r="Q6" s="139"/>
      <c r="R6" s="139" t="s">
        <v>84</v>
      </c>
      <c r="S6" s="145" t="s">
        <v>85</v>
      </c>
      <c r="T6" s="145"/>
      <c r="U6" s="139"/>
      <c r="V6" s="29"/>
      <c r="W6" s="29"/>
      <c r="X6" s="53"/>
      <c r="Y6" s="29"/>
      <c r="Z6" s="29"/>
      <c r="AA6" s="29"/>
      <c r="AB6" s="29"/>
    </row>
    <row r="7" spans="1:28" ht="12.75" hidden="1" customHeight="1" x14ac:dyDescent="0.2">
      <c r="A7" s="52"/>
      <c r="B7" s="29"/>
      <c r="C7" s="84"/>
      <c r="D7" s="29"/>
      <c r="E7" s="140"/>
      <c r="F7" s="139"/>
      <c r="G7" s="139"/>
      <c r="H7" s="139"/>
      <c r="I7" s="147"/>
      <c r="J7" s="139"/>
      <c r="K7" s="147"/>
      <c r="L7" s="148"/>
      <c r="M7" s="148"/>
      <c r="N7" s="143"/>
      <c r="O7" s="139"/>
      <c r="P7" s="139"/>
      <c r="Q7" s="139"/>
      <c r="R7" s="147"/>
      <c r="S7" s="148"/>
      <c r="T7" s="148"/>
      <c r="U7" s="148"/>
      <c r="V7" s="29"/>
      <c r="W7" s="72"/>
      <c r="X7" s="53"/>
      <c r="Y7" s="72"/>
      <c r="Z7" s="72"/>
      <c r="AA7" s="29"/>
      <c r="AB7" s="29"/>
    </row>
    <row r="8" spans="1:28" ht="25.5" customHeight="1" x14ac:dyDescent="0.2">
      <c r="A8" s="52" t="s">
        <v>40</v>
      </c>
      <c r="B8" s="28">
        <v>140</v>
      </c>
      <c r="C8" s="84" t="s">
        <v>43</v>
      </c>
      <c r="D8" s="29">
        <v>354</v>
      </c>
      <c r="E8" s="140" t="s">
        <v>11</v>
      </c>
      <c r="F8" s="139">
        <v>45</v>
      </c>
      <c r="G8" s="148">
        <f>54.8/B8*1000</f>
        <v>391.42857142857139</v>
      </c>
      <c r="H8" s="148">
        <f>-1.5/B8*1000</f>
        <v>-10.714285714285714</v>
      </c>
      <c r="I8" s="147">
        <f>604000/B8</f>
        <v>4314.2857142857147</v>
      </c>
      <c r="J8" s="139">
        <v>10</v>
      </c>
      <c r="K8" s="147">
        <f>582000/B8</f>
        <v>4157.1428571428569</v>
      </c>
      <c r="L8" s="148">
        <f>28.8/B8*1000</f>
        <v>205.71428571428572</v>
      </c>
      <c r="M8" s="148">
        <f>15.3/B8*1000</f>
        <v>109.28571428571429</v>
      </c>
      <c r="N8" s="150">
        <v>1.9</v>
      </c>
      <c r="O8" s="151">
        <f>54.8/B8*1000</f>
        <v>391.42857142857139</v>
      </c>
      <c r="P8" s="148">
        <f>-1.8/B8*1000</f>
        <v>-12.857142857142858</v>
      </c>
      <c r="Q8" s="139">
        <v>10</v>
      </c>
      <c r="R8" s="152">
        <f>573000/B8</f>
        <v>4092.8571428571427</v>
      </c>
      <c r="S8" s="148">
        <f>28.8/B8*1000</f>
        <v>205.71428571428572</v>
      </c>
      <c r="T8" s="148">
        <f>15.1/B8*1000</f>
        <v>107.85714285714286</v>
      </c>
      <c r="U8" s="148">
        <v>1.9</v>
      </c>
      <c r="V8" s="107" t="s">
        <v>71</v>
      </c>
      <c r="W8" s="29" t="s">
        <v>65</v>
      </c>
      <c r="X8" s="53"/>
      <c r="Y8" s="72"/>
      <c r="Z8" s="72"/>
      <c r="AA8" s="29"/>
      <c r="AB8" s="29"/>
    </row>
    <row r="9" spans="1:28" ht="12.75" hidden="1" customHeight="1" x14ac:dyDescent="0.2">
      <c r="A9" s="52"/>
      <c r="B9" s="29"/>
      <c r="C9" s="84"/>
      <c r="D9" s="29"/>
      <c r="E9" s="84"/>
      <c r="F9" s="29"/>
      <c r="G9" s="33"/>
      <c r="H9" s="33"/>
      <c r="I9" s="31"/>
      <c r="J9" s="29"/>
      <c r="K9" s="31"/>
      <c r="L9" s="33"/>
      <c r="M9" s="33"/>
      <c r="N9" s="102"/>
      <c r="O9" s="76"/>
      <c r="P9" s="33"/>
      <c r="Q9" s="31"/>
      <c r="R9" s="36"/>
      <c r="S9" s="33"/>
      <c r="T9" s="33"/>
      <c r="U9" s="33"/>
      <c r="V9" s="29"/>
      <c r="W9" s="29"/>
      <c r="X9" s="53"/>
      <c r="Y9" s="72"/>
      <c r="Z9" s="72"/>
      <c r="AA9" s="29"/>
      <c r="AB9" s="29"/>
    </row>
    <row r="10" spans="1:28" ht="25.5" customHeight="1" x14ac:dyDescent="0.2">
      <c r="A10" s="52" t="s">
        <v>42</v>
      </c>
      <c r="B10" s="29">
        <v>140</v>
      </c>
      <c r="C10" s="84" t="s">
        <v>38</v>
      </c>
      <c r="D10" s="29">
        <v>256</v>
      </c>
      <c r="E10" s="84" t="s">
        <v>11</v>
      </c>
      <c r="F10" s="29">
        <v>49</v>
      </c>
      <c r="G10" s="33">
        <f>39.8/B10*1000</f>
        <v>284.28571428571428</v>
      </c>
      <c r="H10" s="33">
        <f>-1.7/B10*1000</f>
        <v>-12.142857142857142</v>
      </c>
      <c r="I10" s="31">
        <f>566000/B10</f>
        <v>4042.8571428571427</v>
      </c>
      <c r="J10" s="29">
        <v>14</v>
      </c>
      <c r="K10" s="31">
        <f>216000/B10</f>
        <v>1542.8571428571429</v>
      </c>
      <c r="L10" s="41">
        <f>27/B10*1000</f>
        <v>192.85714285714286</v>
      </c>
      <c r="M10" s="41">
        <f>10.7/B10*1000</f>
        <v>76.428571428571431</v>
      </c>
      <c r="N10" s="102">
        <v>2.5</v>
      </c>
      <c r="O10" s="76">
        <f>39.8/B10*1000</f>
        <v>284.28571428571428</v>
      </c>
      <c r="P10" s="33">
        <f>-2/B10*1000</f>
        <v>-14.285714285714285</v>
      </c>
      <c r="Q10" s="31">
        <v>14</v>
      </c>
      <c r="R10" s="36">
        <f>208000/B10</f>
        <v>1485.7142857142858</v>
      </c>
      <c r="S10" s="33">
        <f>27/B10*1000</f>
        <v>192.85714285714286</v>
      </c>
      <c r="T10" s="33">
        <f>10.5/B10*1000</f>
        <v>75</v>
      </c>
      <c r="U10" s="33">
        <v>2.6</v>
      </c>
      <c r="V10" s="34" t="s">
        <v>71</v>
      </c>
      <c r="W10" s="29" t="s">
        <v>65</v>
      </c>
      <c r="X10" s="53"/>
      <c r="Y10" s="72"/>
      <c r="Z10" s="72"/>
      <c r="AA10" s="29"/>
      <c r="AB10" s="29"/>
    </row>
    <row r="11" spans="1:28" ht="12.75" hidden="1" customHeight="1" x14ac:dyDescent="0.2">
      <c r="A11" s="52"/>
      <c r="B11" s="29"/>
      <c r="C11" s="84"/>
      <c r="D11" s="29"/>
      <c r="E11" s="84"/>
      <c r="F11" s="29"/>
      <c r="G11" s="33"/>
      <c r="H11" s="33"/>
      <c r="I11" s="31"/>
      <c r="J11" s="29"/>
      <c r="K11" s="31"/>
      <c r="L11" s="33"/>
      <c r="M11" s="33"/>
      <c r="N11" s="102"/>
      <c r="O11" s="76"/>
      <c r="P11" s="33"/>
      <c r="Q11" s="31"/>
      <c r="R11" s="36"/>
      <c r="S11" s="33"/>
      <c r="T11" s="33"/>
      <c r="U11" s="33"/>
      <c r="V11" s="29"/>
      <c r="W11" s="29"/>
      <c r="X11" s="53"/>
      <c r="Y11" s="72"/>
      <c r="Z11" s="72"/>
      <c r="AA11" s="29"/>
      <c r="AB11" s="29"/>
    </row>
    <row r="12" spans="1:28" ht="25.5" customHeight="1" x14ac:dyDescent="0.2">
      <c r="A12" s="55" t="s">
        <v>70</v>
      </c>
      <c r="B12" s="57">
        <v>140</v>
      </c>
      <c r="C12" s="56" t="s">
        <v>43</v>
      </c>
      <c r="D12" s="57">
        <v>354</v>
      </c>
      <c r="E12" s="56" t="s">
        <v>60</v>
      </c>
      <c r="F12" s="57">
        <v>81</v>
      </c>
      <c r="G12" s="59">
        <f>38.5/B12*1000</f>
        <v>275</v>
      </c>
      <c r="H12" s="59">
        <f>3.4/B12*1000</f>
        <v>24.285714285714285</v>
      </c>
      <c r="I12" s="58">
        <f>434000/B12</f>
        <v>3100</v>
      </c>
      <c r="J12" s="57">
        <v>8</v>
      </c>
      <c r="K12" s="58">
        <f>599000/B12</f>
        <v>4278.5714285714284</v>
      </c>
      <c r="L12" s="59">
        <f>14.4/B12*1000</f>
        <v>102.85714285714286</v>
      </c>
      <c r="M12" s="59">
        <f>14.6/B12*1000</f>
        <v>104.28571428571429</v>
      </c>
      <c r="N12" s="103">
        <v>1</v>
      </c>
      <c r="O12" s="77">
        <f>37.6/B12*1000</f>
        <v>268.57142857142856</v>
      </c>
      <c r="P12" s="59">
        <f>3.4/B12*1000</f>
        <v>24.285714285714285</v>
      </c>
      <c r="Q12" s="57">
        <v>9</v>
      </c>
      <c r="R12" s="100">
        <f>577000/B12</f>
        <v>4121.4285714285716</v>
      </c>
      <c r="S12" s="59">
        <f>14.4/B12*1000</f>
        <v>102.85714285714286</v>
      </c>
      <c r="T12" s="59">
        <f>14.4/B12*1000</f>
        <v>102.85714285714286</v>
      </c>
      <c r="U12" s="59">
        <v>1</v>
      </c>
      <c r="V12" s="60" t="s">
        <v>72</v>
      </c>
      <c r="W12" s="29" t="s">
        <v>79</v>
      </c>
      <c r="X12" s="65"/>
      <c r="Y12" s="72"/>
      <c r="Z12" s="72"/>
      <c r="AA12" s="29"/>
      <c r="AB12" s="29"/>
    </row>
    <row r="13" spans="1:28" ht="25.5" customHeight="1" x14ac:dyDescent="0.2">
      <c r="A13" s="45" t="s">
        <v>34</v>
      </c>
      <c r="B13" s="80">
        <v>216</v>
      </c>
      <c r="C13" s="85" t="s">
        <v>38</v>
      </c>
      <c r="D13" s="48">
        <v>282</v>
      </c>
      <c r="E13" s="85" t="s">
        <v>11</v>
      </c>
      <c r="F13" s="48">
        <v>78</v>
      </c>
      <c r="G13" s="97">
        <f>54/B13*1000</f>
        <v>250</v>
      </c>
      <c r="H13" s="97">
        <f>2.1/B13*1000</f>
        <v>9.7222222222222232</v>
      </c>
      <c r="I13" s="93">
        <f>766000/B13</f>
        <v>3546.2962962962961</v>
      </c>
      <c r="J13" s="48">
        <v>20</v>
      </c>
      <c r="K13" s="99">
        <f>207000/B13</f>
        <v>958.33333333333337</v>
      </c>
      <c r="L13" s="95">
        <f>10.3/B13*1000</f>
        <v>47.68518518518519</v>
      </c>
      <c r="M13" s="95">
        <f>13.5/B13*1000</f>
        <v>62.5</v>
      </c>
      <c r="N13" s="101">
        <v>0.8</v>
      </c>
      <c r="O13" s="114">
        <f>52.8/B13*1000</f>
        <v>244.44444444444443</v>
      </c>
      <c r="P13" s="97">
        <f>2.1/B13*1000</f>
        <v>9.7222222222222232</v>
      </c>
      <c r="Q13" s="48">
        <v>20</v>
      </c>
      <c r="R13" s="99">
        <f>202000/B13</f>
        <v>935.18518518518522</v>
      </c>
      <c r="S13" s="95">
        <f>10.3/B13*1000</f>
        <v>47.68518518518519</v>
      </c>
      <c r="T13" s="95">
        <f>13.3/B13*1000</f>
        <v>61.574074074074076</v>
      </c>
      <c r="U13" s="48">
        <v>0.8</v>
      </c>
      <c r="V13" s="98" t="s">
        <v>14</v>
      </c>
      <c r="W13" s="48" t="s">
        <v>65</v>
      </c>
      <c r="X13" s="51"/>
      <c r="Y13" s="72"/>
      <c r="Z13" s="72"/>
      <c r="AA13" s="29"/>
      <c r="AB13" s="29"/>
    </row>
    <row r="14" spans="1:28" ht="25.5" customHeight="1" x14ac:dyDescent="0.2">
      <c r="A14" s="52" t="s">
        <v>28</v>
      </c>
      <c r="B14" s="29">
        <v>144</v>
      </c>
      <c r="C14" s="84" t="s">
        <v>32</v>
      </c>
      <c r="D14" s="29">
        <v>202</v>
      </c>
      <c r="E14" s="84" t="s">
        <v>11</v>
      </c>
      <c r="F14" s="29">
        <v>38</v>
      </c>
      <c r="G14" s="33">
        <f>31.7/B14*1000</f>
        <v>220.13888888888889</v>
      </c>
      <c r="H14" s="33">
        <f>-2.1/B14*1000</f>
        <v>-14.583333333333334</v>
      </c>
      <c r="I14" s="31">
        <f>523000/B14</f>
        <v>3631.9444444444443</v>
      </c>
      <c r="J14" s="29">
        <v>15</v>
      </c>
      <c r="K14" s="31">
        <f>267000/B14</f>
        <v>1854.1666666666667</v>
      </c>
      <c r="L14" s="33">
        <f>30.5/B14*1000</f>
        <v>211.80555555555554</v>
      </c>
      <c r="M14" s="33">
        <f>8.1/B14*1000</f>
        <v>56.249999999999993</v>
      </c>
      <c r="N14" s="102">
        <v>3.8</v>
      </c>
      <c r="O14" s="76">
        <f>31.7/B14*1000</f>
        <v>220.13888888888889</v>
      </c>
      <c r="P14" s="33">
        <f>-2.2/B14*1000</f>
        <v>-15.277777777777779</v>
      </c>
      <c r="Q14" s="29">
        <v>15</v>
      </c>
      <c r="R14" s="36">
        <f>265000/B14</f>
        <v>1840.2777777777778</v>
      </c>
      <c r="S14" s="33">
        <f>30.5/B14*1000</f>
        <v>211.80555555555554</v>
      </c>
      <c r="T14" s="33">
        <f>8/B14*1000</f>
        <v>55.55555555555555</v>
      </c>
      <c r="U14" s="33">
        <v>3.8</v>
      </c>
      <c r="V14" s="34" t="s">
        <v>14</v>
      </c>
      <c r="W14" s="29" t="s">
        <v>65</v>
      </c>
      <c r="X14" s="53"/>
      <c r="Y14" s="83"/>
      <c r="Z14" s="83"/>
      <c r="AA14" s="29"/>
      <c r="AB14" s="29"/>
    </row>
    <row r="15" spans="1:28" ht="25.5" customHeight="1" x14ac:dyDescent="0.2">
      <c r="A15" s="55" t="s">
        <v>30</v>
      </c>
      <c r="B15" s="57">
        <v>144</v>
      </c>
      <c r="C15" s="56" t="s">
        <v>32</v>
      </c>
      <c r="D15" s="57">
        <v>202</v>
      </c>
      <c r="E15" s="56" t="s">
        <v>10</v>
      </c>
      <c r="F15" s="57">
        <v>119</v>
      </c>
      <c r="G15" s="59">
        <f>31.7/B15*1000</f>
        <v>220.13888888888889</v>
      </c>
      <c r="H15" s="59">
        <f>-6.7/B15*1000</f>
        <v>-46.527777777777779</v>
      </c>
      <c r="I15" s="58">
        <f>332000/B15</f>
        <v>2305.5555555555557</v>
      </c>
      <c r="J15" s="57">
        <v>14</v>
      </c>
      <c r="K15" s="58">
        <f>185000/B15</f>
        <v>1284.7222222222222</v>
      </c>
      <c r="L15" s="59">
        <f>17.1/B15*1000</f>
        <v>118.75000000000001</v>
      </c>
      <c r="M15" s="59">
        <f>5.2/B15*1000</f>
        <v>36.111111111111114</v>
      </c>
      <c r="N15" s="103">
        <v>3.3</v>
      </c>
      <c r="O15" s="77">
        <f>31.7/B15*1000</f>
        <v>220.13888888888889</v>
      </c>
      <c r="P15" s="59">
        <f>-7.1/B15*1000</f>
        <v>-49.305555555555557</v>
      </c>
      <c r="Q15" s="58">
        <v>14</v>
      </c>
      <c r="R15" s="100">
        <f>176000/B15</f>
        <v>1222.2222222222222</v>
      </c>
      <c r="S15" s="59">
        <f>17.1/B15*1000</f>
        <v>118.75000000000001</v>
      </c>
      <c r="T15" s="59">
        <f>5/B15*1000</f>
        <v>34.722222222222221</v>
      </c>
      <c r="U15" s="59">
        <v>3.4</v>
      </c>
      <c r="V15" s="60" t="s">
        <v>33</v>
      </c>
      <c r="W15" s="57" t="s">
        <v>62</v>
      </c>
      <c r="X15" s="65"/>
      <c r="Y15" s="72"/>
      <c r="Z15" s="72"/>
      <c r="AA15" s="29"/>
      <c r="AB15" s="29"/>
    </row>
    <row r="16" spans="1:28" ht="25.5" customHeight="1" x14ac:dyDescent="0.2">
      <c r="A16" s="45" t="s">
        <v>36</v>
      </c>
      <c r="B16" s="48">
        <v>216</v>
      </c>
      <c r="C16" s="85" t="s">
        <v>38</v>
      </c>
      <c r="D16" s="48">
        <v>282</v>
      </c>
      <c r="E16" s="85" t="s">
        <v>10</v>
      </c>
      <c r="F16" s="48">
        <v>106</v>
      </c>
      <c r="G16" s="97">
        <f>45.8/B16*1000</f>
        <v>212.03703703703701</v>
      </c>
      <c r="H16" s="97">
        <f>2.1/B16*1000</f>
        <v>9.7222222222222232</v>
      </c>
      <c r="I16" s="93">
        <f>469000/B16</f>
        <v>2171.2962962962961</v>
      </c>
      <c r="J16" s="48">
        <v>14</v>
      </c>
      <c r="K16" s="99">
        <f>244000/B16</f>
        <v>1129.6296296296296</v>
      </c>
      <c r="L16" s="95">
        <f>5.8/B16*1000</f>
        <v>26.851851851851851</v>
      </c>
      <c r="M16" s="95">
        <f>11.7/B16*1000</f>
        <v>54.166666666666664</v>
      </c>
      <c r="N16" s="101">
        <v>0.5</v>
      </c>
      <c r="O16" s="114">
        <f>43.8/B16*1000</f>
        <v>202.77777777777774</v>
      </c>
      <c r="P16" s="97">
        <f>2.1/B16*1000</f>
        <v>9.7222222222222232</v>
      </c>
      <c r="Q16" s="48">
        <v>14</v>
      </c>
      <c r="R16" s="99">
        <f>242000/B16</f>
        <v>1120.3703703703704</v>
      </c>
      <c r="S16" s="95">
        <f>5.8/B16*1000</f>
        <v>26.851851851851851</v>
      </c>
      <c r="T16" s="95">
        <f>11.2/B16*1000</f>
        <v>51.851851851851848</v>
      </c>
      <c r="U16" s="48">
        <v>0.5</v>
      </c>
      <c r="V16" s="98" t="s">
        <v>13</v>
      </c>
      <c r="W16" s="48" t="s">
        <v>73</v>
      </c>
      <c r="X16" s="51"/>
      <c r="Y16" s="72"/>
      <c r="Z16" s="72"/>
      <c r="AA16" s="29"/>
      <c r="AB16" s="29"/>
    </row>
    <row r="17" spans="1:29" ht="25.5" customHeight="1" x14ac:dyDescent="0.2">
      <c r="A17" s="55" t="s">
        <v>68</v>
      </c>
      <c r="B17" s="66">
        <v>140</v>
      </c>
      <c r="C17" s="56" t="s">
        <v>38</v>
      </c>
      <c r="D17" s="57">
        <v>256</v>
      </c>
      <c r="E17" s="56" t="s">
        <v>60</v>
      </c>
      <c r="F17" s="57">
        <v>84</v>
      </c>
      <c r="G17" s="59">
        <f>22.8/B17*1000</f>
        <v>162.85714285714286</v>
      </c>
      <c r="H17" s="59">
        <f>3.4/B17*1000</f>
        <v>24.285714285714285</v>
      </c>
      <c r="I17" s="58">
        <f>396000/B17</f>
        <v>2828.5714285714284</v>
      </c>
      <c r="J17" s="57">
        <v>12</v>
      </c>
      <c r="K17" s="58">
        <f>250000/B17</f>
        <v>1785.7142857142858</v>
      </c>
      <c r="L17" s="69">
        <f>12.5/B17*1000</f>
        <v>89.285714285714292</v>
      </c>
      <c r="M17" s="69">
        <f>10/B17*1000</f>
        <v>71.428571428571431</v>
      </c>
      <c r="N17" s="103">
        <v>1.3</v>
      </c>
      <c r="O17" s="77">
        <f>21.8/B17*1000</f>
        <v>155.71428571428572</v>
      </c>
      <c r="P17" s="59">
        <f>3.4/B17*1000</f>
        <v>24.285714285714285</v>
      </c>
      <c r="Q17" s="58">
        <v>13</v>
      </c>
      <c r="R17" s="100">
        <f>226000/B17</f>
        <v>1614.2857142857142</v>
      </c>
      <c r="S17" s="59">
        <f>12.5/B17*1000</f>
        <v>89.285714285714292</v>
      </c>
      <c r="T17" s="59">
        <f>9.8/B17*1000</f>
        <v>70</v>
      </c>
      <c r="U17" s="59">
        <v>1.3</v>
      </c>
      <c r="V17" s="113" t="s">
        <v>72</v>
      </c>
      <c r="W17" s="57" t="s">
        <v>79</v>
      </c>
      <c r="X17" s="65"/>
      <c r="Y17" s="72"/>
      <c r="Z17" s="72"/>
      <c r="AA17" s="29"/>
      <c r="AB17" s="29"/>
    </row>
    <row r="18" spans="1:29" ht="25.5" customHeight="1" x14ac:dyDescent="0.2">
      <c r="A18" s="45" t="s">
        <v>57</v>
      </c>
      <c r="B18" s="48">
        <v>334</v>
      </c>
      <c r="C18" s="85" t="s">
        <v>32</v>
      </c>
      <c r="D18" s="48">
        <v>220</v>
      </c>
      <c r="E18" s="85" t="s">
        <v>60</v>
      </c>
      <c r="F18" s="48">
        <v>92</v>
      </c>
      <c r="G18" s="97">
        <f>46.9/B18*1000</f>
        <v>140.4191616766467</v>
      </c>
      <c r="H18" s="97">
        <f>3.8/B18*1000</f>
        <v>11.377245508982035</v>
      </c>
      <c r="I18" s="93">
        <f>1611000/B18</f>
        <v>4823.3532934131736</v>
      </c>
      <c r="J18" s="48">
        <v>44</v>
      </c>
      <c r="K18" s="99">
        <f>-114000/B18</f>
        <v>-341.31736526946105</v>
      </c>
      <c r="L18" s="97">
        <f>14.7/B18*1000</f>
        <v>44.011976047904191</v>
      </c>
      <c r="M18" s="97">
        <f>13/B18*1000</f>
        <v>38.922155688622759</v>
      </c>
      <c r="N18" s="110">
        <v>1.1000000000000001</v>
      </c>
      <c r="O18" s="114">
        <f>44.9/B18*1000</f>
        <v>134.43113772455089</v>
      </c>
      <c r="P18" s="97">
        <f>3.8/B18*1000</f>
        <v>11.377245508982035</v>
      </c>
      <c r="Q18" s="48">
        <v>44</v>
      </c>
      <c r="R18" s="99">
        <f>-120000/B18</f>
        <v>-359.28143712574848</v>
      </c>
      <c r="S18" s="97">
        <f>14.7/B18*1000</f>
        <v>44.011976047904191</v>
      </c>
      <c r="T18" s="97">
        <f>12.6/B18*1000</f>
        <v>37.724550898203589</v>
      </c>
      <c r="U18" s="97">
        <v>1.2</v>
      </c>
      <c r="V18" s="98" t="s">
        <v>14</v>
      </c>
      <c r="W18" s="48" t="s">
        <v>65</v>
      </c>
      <c r="X18" s="51"/>
      <c r="Y18" s="72"/>
      <c r="Z18" s="72"/>
      <c r="AA18" s="29"/>
      <c r="AB18" s="29"/>
    </row>
    <row r="19" spans="1:29" ht="25.5" customHeight="1" x14ac:dyDescent="0.2">
      <c r="A19" s="52" t="s">
        <v>59</v>
      </c>
      <c r="B19" s="29">
        <v>334</v>
      </c>
      <c r="C19" s="84" t="s">
        <v>32</v>
      </c>
      <c r="D19" s="29">
        <v>220</v>
      </c>
      <c r="E19" s="84" t="s">
        <v>10</v>
      </c>
      <c r="F19" s="29">
        <v>104</v>
      </c>
      <c r="G19" s="33">
        <f>41.2/B19*1000</f>
        <v>123.35329341317366</v>
      </c>
      <c r="H19" s="33">
        <f>3.8/B19*1000</f>
        <v>11.377245508982035</v>
      </c>
      <c r="I19" s="31">
        <f>809000/B19</f>
        <v>2422.1556886227545</v>
      </c>
      <c r="J19" s="29">
        <v>24</v>
      </c>
      <c r="K19" s="36">
        <f>-22000/B19</f>
        <v>-65.868263473053887</v>
      </c>
      <c r="L19" s="33">
        <f>10.9/B19*1000</f>
        <v>32.634730538922156</v>
      </c>
      <c r="M19" s="33">
        <f>11.7/B19*1000</f>
        <v>35.029940119760475</v>
      </c>
      <c r="N19" s="102">
        <v>0.9</v>
      </c>
      <c r="O19" s="76">
        <f>38.6/B19*1000</f>
        <v>115.56886227544911</v>
      </c>
      <c r="P19" s="33">
        <f>3.8/B19*1000</f>
        <v>11.377245508982035</v>
      </c>
      <c r="Q19" s="29">
        <v>24</v>
      </c>
      <c r="R19" s="36">
        <f>-27000/B19</f>
        <v>-80.838323353293418</v>
      </c>
      <c r="S19" s="33">
        <f>10.9/B19*1000</f>
        <v>32.634730538922156</v>
      </c>
      <c r="T19" s="33">
        <f>11.1/B19*1000</f>
        <v>33.23353293413173</v>
      </c>
      <c r="U19" s="29">
        <v>1</v>
      </c>
      <c r="V19" s="34" t="s">
        <v>66</v>
      </c>
      <c r="W19" s="29" t="s">
        <v>62</v>
      </c>
      <c r="X19" s="53"/>
      <c r="Y19" s="83"/>
      <c r="Z19" s="29"/>
      <c r="AA19" s="29"/>
      <c r="AB19" s="29"/>
    </row>
    <row r="20" spans="1:29" ht="25.5" customHeight="1" x14ac:dyDescent="0.2">
      <c r="A20" s="52" t="s">
        <v>19</v>
      </c>
      <c r="B20" s="29">
        <v>1980</v>
      </c>
      <c r="C20" s="84" t="s">
        <v>18</v>
      </c>
      <c r="D20" s="29">
        <v>139</v>
      </c>
      <c r="E20" s="84" t="s">
        <v>11</v>
      </c>
      <c r="F20" s="29">
        <v>47</v>
      </c>
      <c r="G20" s="33">
        <f>211.5/B20*1000</f>
        <v>106.81818181818181</v>
      </c>
      <c r="H20" s="33">
        <f>10.4/B20*1000</f>
        <v>5.2525252525252526</v>
      </c>
      <c r="I20" s="31">
        <f>5604000/B20</f>
        <v>2830.3030303030305</v>
      </c>
      <c r="J20" s="29">
        <v>38</v>
      </c>
      <c r="K20" s="31">
        <f>-279000/B20</f>
        <v>-140.90909090909091</v>
      </c>
      <c r="L20" s="33">
        <f>66.4/B20*1000</f>
        <v>33.535353535353536</v>
      </c>
      <c r="M20" s="33">
        <f>54.5/B20*1000</f>
        <v>27.525252525252526</v>
      </c>
      <c r="N20" s="102">
        <v>1.2</v>
      </c>
      <c r="O20" s="76">
        <f>202.7/B20*1000</f>
        <v>102.37373737373737</v>
      </c>
      <c r="P20" s="33">
        <f>10.4/B20*1000</f>
        <v>5.2525252525252526</v>
      </c>
      <c r="Q20" s="29">
        <v>39</v>
      </c>
      <c r="R20" s="36">
        <f>-355000/B20</f>
        <v>-179.2929292929293</v>
      </c>
      <c r="S20" s="33">
        <f>66.4/B20*1000</f>
        <v>33.535353535353536</v>
      </c>
      <c r="T20" s="33">
        <f>52.5/B20*1000</f>
        <v>26.515151515151516</v>
      </c>
      <c r="U20" s="33">
        <v>1.3</v>
      </c>
      <c r="V20" s="34" t="s">
        <v>14</v>
      </c>
      <c r="W20" s="29" t="s">
        <v>65</v>
      </c>
      <c r="X20" s="53"/>
      <c r="Y20" s="83"/>
      <c r="Z20" s="29"/>
      <c r="AA20" s="29"/>
      <c r="AB20" s="29"/>
    </row>
    <row r="21" spans="1:29" ht="25.5" customHeight="1" x14ac:dyDescent="0.2">
      <c r="A21" s="55" t="s">
        <v>51</v>
      </c>
      <c r="B21" s="66">
        <v>3300</v>
      </c>
      <c r="C21" s="56" t="s">
        <v>18</v>
      </c>
      <c r="D21" s="57">
        <v>141</v>
      </c>
      <c r="E21" s="56" t="s">
        <v>60</v>
      </c>
      <c r="F21" s="57">
        <v>69</v>
      </c>
      <c r="G21" s="59">
        <f>341.9/B21*1000</f>
        <v>103.60606060606061</v>
      </c>
      <c r="H21" s="59">
        <f>-6.2/B21*1000</f>
        <v>-1.8787878787878789</v>
      </c>
      <c r="I21" s="58">
        <f>5851000/B21</f>
        <v>1773.030303030303</v>
      </c>
      <c r="J21" s="57">
        <v>30</v>
      </c>
      <c r="K21" s="58">
        <f>-1521000/B21</f>
        <v>-460.90909090909093</v>
      </c>
      <c r="L21" s="67">
        <f>55.6/B21*1000</f>
        <v>16.848484848484848</v>
      </c>
      <c r="M21" s="67">
        <f>73.7/B21*1000</f>
        <v>22.333333333333332</v>
      </c>
      <c r="N21" s="103">
        <v>0.8</v>
      </c>
      <c r="O21" s="77">
        <f>319.4/B21*1000</f>
        <v>96.787878787878782</v>
      </c>
      <c r="P21" s="59">
        <f>-6.2/B21*1000</f>
        <v>-1.8787878787878789</v>
      </c>
      <c r="Q21" s="57">
        <v>31</v>
      </c>
      <c r="R21" s="100">
        <f>-1650000/B21</f>
        <v>-500</v>
      </c>
      <c r="S21" s="59">
        <f>55.6/B21*1000</f>
        <v>16.848484848484848</v>
      </c>
      <c r="T21" s="59">
        <f>68.6/B21*1000</f>
        <v>20.787878787878785</v>
      </c>
      <c r="U21" s="59">
        <v>0.8</v>
      </c>
      <c r="V21" s="113" t="s">
        <v>14</v>
      </c>
      <c r="W21" s="29" t="s">
        <v>65</v>
      </c>
      <c r="X21" s="65"/>
      <c r="Y21" s="72"/>
      <c r="Z21" s="72"/>
      <c r="AA21" s="29"/>
      <c r="AB21" s="29"/>
    </row>
    <row r="22" spans="1:29" ht="25.5" customHeight="1" x14ac:dyDescent="0.2">
      <c r="A22" s="45" t="s">
        <v>45</v>
      </c>
      <c r="B22" s="48">
        <v>1525</v>
      </c>
      <c r="C22" s="85" t="s">
        <v>38</v>
      </c>
      <c r="D22" s="48">
        <v>220</v>
      </c>
      <c r="E22" s="85" t="s">
        <v>10</v>
      </c>
      <c r="F22" s="48">
        <v>120</v>
      </c>
      <c r="G22" s="97">
        <f>160.6/B22*1000</f>
        <v>105.31147540983605</v>
      </c>
      <c r="H22" s="97">
        <f>14.5/B22*1000</f>
        <v>9.5081967213114762</v>
      </c>
      <c r="I22" s="93">
        <f>2945000/B22</f>
        <v>1931.1475409836066</v>
      </c>
      <c r="J22" s="48">
        <v>23</v>
      </c>
      <c r="K22" s="99">
        <f>3000/B22</f>
        <v>1.9672131147540983</v>
      </c>
      <c r="L22" s="95">
        <f>52/B22*1000</f>
        <v>34.098360655737707</v>
      </c>
      <c r="M22" s="95">
        <f>45.5/B22*1000</f>
        <v>29.83606557377049</v>
      </c>
      <c r="N22" s="101">
        <v>1.1000000000000001</v>
      </c>
      <c r="O22" s="114">
        <f>139.1/B22*1000</f>
        <v>91.213114754098356</v>
      </c>
      <c r="P22" s="97">
        <f>14.5/B22*1000</f>
        <v>9.5081967213114762</v>
      </c>
      <c r="Q22" s="48">
        <v>23</v>
      </c>
      <c r="R22" s="99">
        <f>-24000/B22</f>
        <v>-15.737704918032787</v>
      </c>
      <c r="S22" s="95">
        <f>52/B22*1000</f>
        <v>34.098360655737707</v>
      </c>
      <c r="T22" s="95">
        <f>40.6/B22*1000</f>
        <v>26.622950819672131</v>
      </c>
      <c r="U22" s="48">
        <v>1.3</v>
      </c>
      <c r="V22" s="98" t="s">
        <v>14</v>
      </c>
      <c r="W22" s="48" t="s">
        <v>65</v>
      </c>
      <c r="X22" s="51"/>
      <c r="Y22" s="72"/>
      <c r="Z22" s="29"/>
      <c r="AA22" s="29"/>
      <c r="AB22" s="29"/>
    </row>
    <row r="23" spans="1:29" ht="25.5" customHeight="1" x14ac:dyDescent="0.2">
      <c r="A23" s="55" t="s">
        <v>48</v>
      </c>
      <c r="B23" s="57">
        <v>1525</v>
      </c>
      <c r="C23" s="56" t="s">
        <v>38</v>
      </c>
      <c r="D23" s="57">
        <v>220</v>
      </c>
      <c r="E23" s="56" t="s">
        <v>10</v>
      </c>
      <c r="F23" s="57">
        <v>128</v>
      </c>
      <c r="G23" s="59">
        <f>143.2/B23*1000</f>
        <v>93.901639344262293</v>
      </c>
      <c r="H23" s="59">
        <f>14.5/B23*1000</f>
        <v>9.5081967213114762</v>
      </c>
      <c r="I23" s="58">
        <f>1617000/B23</f>
        <v>1060.327868852459</v>
      </c>
      <c r="J23" s="57">
        <v>14</v>
      </c>
      <c r="K23" s="100">
        <f>520000/B23</f>
        <v>340.98360655737707</v>
      </c>
      <c r="L23" s="62">
        <f>45/B23*1000</f>
        <v>29.508196721311478</v>
      </c>
      <c r="M23" s="62">
        <f>41.5/B23*1000</f>
        <v>27.21311475409836</v>
      </c>
      <c r="N23" s="111">
        <v>1.1000000000000001</v>
      </c>
      <c r="O23" s="77">
        <f>120/B23*1000</f>
        <v>78.688524590163937</v>
      </c>
      <c r="P23" s="59">
        <f>14.5/B23*1000</f>
        <v>9.5081967213114762</v>
      </c>
      <c r="Q23" s="57">
        <v>14</v>
      </c>
      <c r="R23" s="100">
        <f>505000/B23</f>
        <v>331.14754098360658</v>
      </c>
      <c r="S23" s="62">
        <f>45/B23*1000</f>
        <v>29.508196721311478</v>
      </c>
      <c r="T23" s="62">
        <f>36.3/B23*1000</f>
        <v>23.803278688524589</v>
      </c>
      <c r="U23" s="59">
        <v>1.2</v>
      </c>
      <c r="V23" s="60" t="s">
        <v>46</v>
      </c>
      <c r="W23" s="29" t="s">
        <v>63</v>
      </c>
      <c r="X23" s="65"/>
      <c r="Y23" s="72"/>
      <c r="Z23" s="29"/>
      <c r="AA23" s="29"/>
      <c r="AB23" s="29"/>
    </row>
    <row r="24" spans="1:29" ht="25.5" customHeight="1" x14ac:dyDescent="0.2">
      <c r="A24" s="45" t="s">
        <v>55</v>
      </c>
      <c r="B24" s="48">
        <v>3300</v>
      </c>
      <c r="C24" s="85" t="s">
        <v>18</v>
      </c>
      <c r="D24" s="80">
        <v>141</v>
      </c>
      <c r="E24" s="85" t="s">
        <v>10</v>
      </c>
      <c r="F24" s="80">
        <v>91</v>
      </c>
      <c r="G24" s="97">
        <f>276.2/B24*1000</f>
        <v>83.696969696969703</v>
      </c>
      <c r="H24" s="106">
        <f>-15.6/B24*1000</f>
        <v>-4.7272727272727275</v>
      </c>
      <c r="I24" s="93">
        <f>4836000/B24</f>
        <v>1465.4545454545455</v>
      </c>
      <c r="J24" s="80">
        <v>34</v>
      </c>
      <c r="K24" s="93">
        <f>-1815000/B24</f>
        <v>-550</v>
      </c>
      <c r="L24" s="94">
        <f>35.8/B24*1000</f>
        <v>10.848484848484848</v>
      </c>
      <c r="M24" s="109">
        <f>53/B24*1000</f>
        <v>16.060606060606059</v>
      </c>
      <c r="N24" s="112">
        <v>0.7</v>
      </c>
      <c r="O24" s="114">
        <f>247.4/B24*1000</f>
        <v>74.969696969696983</v>
      </c>
      <c r="P24" s="97">
        <f>-15.6/B24*1000</f>
        <v>-4.7272727272727275</v>
      </c>
      <c r="Q24" s="93">
        <v>35</v>
      </c>
      <c r="R24" s="99">
        <f>-1869000/B24</f>
        <v>-566.36363636363637</v>
      </c>
      <c r="S24" s="97">
        <f>35.8/B24*1000</f>
        <v>10.848484848484848</v>
      </c>
      <c r="T24" s="97">
        <f>46.5/B24*1000</f>
        <v>14.090909090909092</v>
      </c>
      <c r="U24" s="97">
        <v>0.8</v>
      </c>
      <c r="V24" s="98" t="s">
        <v>61</v>
      </c>
      <c r="W24" s="48" t="s">
        <v>62</v>
      </c>
      <c r="X24" s="51"/>
      <c r="Y24" s="72"/>
      <c r="Z24" s="29"/>
      <c r="AA24" s="29"/>
      <c r="AB24" s="34"/>
    </row>
    <row r="25" spans="1:29" ht="25.5" customHeight="1" x14ac:dyDescent="0.2">
      <c r="A25" s="52" t="s">
        <v>53</v>
      </c>
      <c r="B25" s="29">
        <v>3300</v>
      </c>
      <c r="C25" s="84" t="s">
        <v>18</v>
      </c>
      <c r="D25" s="29">
        <v>141</v>
      </c>
      <c r="E25" s="84" t="s">
        <v>10</v>
      </c>
      <c r="F25" s="29">
        <v>93</v>
      </c>
      <c r="G25" s="33">
        <f>214.5/B25*1000</f>
        <v>65</v>
      </c>
      <c r="H25" s="33">
        <f>9.3/B25*1000</f>
        <v>2.8181818181818183</v>
      </c>
      <c r="I25" s="31">
        <f>1602000/B25</f>
        <v>485.45454545454544</v>
      </c>
      <c r="J25" s="29">
        <v>13</v>
      </c>
      <c r="K25" s="31">
        <f>1402000/B25</f>
        <v>424.84848484848487</v>
      </c>
      <c r="L25" s="63">
        <f>37.1/B25*1000</f>
        <v>11.242424242424242</v>
      </c>
      <c r="M25" s="63">
        <f>54.5/B25*1000</f>
        <v>16.515151515151516</v>
      </c>
      <c r="N25" s="102">
        <v>0.7</v>
      </c>
      <c r="O25" s="76">
        <f>180.1/B25*1000</f>
        <v>54.575757575757578</v>
      </c>
      <c r="P25" s="33">
        <f>9.3/B25*1000</f>
        <v>2.8181818181818183</v>
      </c>
      <c r="Q25" s="31">
        <v>14</v>
      </c>
      <c r="R25" s="36">
        <f>1304000/B25</f>
        <v>395.15151515151513</v>
      </c>
      <c r="S25" s="33">
        <f>37.1/B25*1000</f>
        <v>11.242424242424242</v>
      </c>
      <c r="T25" s="33">
        <f>46.7/B25*1000</f>
        <v>14.151515151515152</v>
      </c>
      <c r="U25" s="33">
        <v>0.8</v>
      </c>
      <c r="V25" s="34" t="s">
        <v>13</v>
      </c>
      <c r="W25" s="29" t="s">
        <v>63</v>
      </c>
      <c r="X25" s="53"/>
      <c r="Y25" s="72"/>
      <c r="Z25" s="29"/>
      <c r="AA25" s="29"/>
      <c r="AB25" s="34"/>
    </row>
    <row r="26" spans="1:29" ht="25.5" customHeight="1" x14ac:dyDescent="0.2">
      <c r="A26" s="45" t="s">
        <v>21</v>
      </c>
      <c r="B26" s="48">
        <v>1980</v>
      </c>
      <c r="C26" s="85" t="s">
        <v>18</v>
      </c>
      <c r="D26" s="48">
        <v>139</v>
      </c>
      <c r="E26" s="85" t="s">
        <v>10</v>
      </c>
      <c r="F26" s="48">
        <v>83</v>
      </c>
      <c r="G26" s="97">
        <f>114.6/B26*1000</f>
        <v>57.878787878787875</v>
      </c>
      <c r="H26" s="97">
        <f>10.4/B26*1000</f>
        <v>5.2525252525252526</v>
      </c>
      <c r="I26" s="93">
        <f>2661000/B26</f>
        <v>1343.939393939394</v>
      </c>
      <c r="J26" s="48">
        <v>28</v>
      </c>
      <c r="K26" s="93">
        <f>-14000/B26</f>
        <v>-7.0707070707070709</v>
      </c>
      <c r="L26" s="97">
        <f>39/B26*1000</f>
        <v>19.696969696969695</v>
      </c>
      <c r="M26" s="97">
        <f>32.5/B26*1000</f>
        <v>16.414141414141415</v>
      </c>
      <c r="N26" s="101">
        <v>1.2</v>
      </c>
      <c r="O26" s="114">
        <f>96.4/B26*1000</f>
        <v>48.686868686868685</v>
      </c>
      <c r="P26" s="97">
        <f>10.4/B26*1000</f>
        <v>5.2525252525252526</v>
      </c>
      <c r="Q26" s="93">
        <v>29</v>
      </c>
      <c r="R26" s="99">
        <f>-36000/B26</f>
        <v>-18.181818181818183</v>
      </c>
      <c r="S26" s="97">
        <f>39/B26*1000</f>
        <v>19.696969696969695</v>
      </c>
      <c r="T26" s="97">
        <f>28.4/B26*1000</f>
        <v>14.343434343434343</v>
      </c>
      <c r="U26" s="97">
        <v>1.4</v>
      </c>
      <c r="V26" s="98" t="s">
        <v>26</v>
      </c>
      <c r="W26" s="48" t="s">
        <v>62</v>
      </c>
      <c r="X26" s="51"/>
      <c r="Y26" s="72"/>
      <c r="Z26" s="29"/>
      <c r="AA26" s="29"/>
      <c r="AB26" s="34"/>
    </row>
    <row r="27" spans="1:29" ht="25.5" customHeight="1" x14ac:dyDescent="0.2">
      <c r="A27" s="55" t="s">
        <v>20</v>
      </c>
      <c r="B27" s="57">
        <v>1980</v>
      </c>
      <c r="C27" s="56" t="s">
        <v>18</v>
      </c>
      <c r="D27" s="57">
        <v>139</v>
      </c>
      <c r="E27" s="56" t="s">
        <v>10</v>
      </c>
      <c r="F27" s="57">
        <v>94</v>
      </c>
      <c r="G27" s="59">
        <f>84.6/B27*1000</f>
        <v>42.727272727272727</v>
      </c>
      <c r="H27" s="59">
        <f>9.3/B27*1000</f>
        <v>4.6969696969696981</v>
      </c>
      <c r="I27" s="58">
        <f>1989000/B27</f>
        <v>1004.5454545454545</v>
      </c>
      <c r="J27" s="57">
        <v>28</v>
      </c>
      <c r="K27" s="58">
        <f>384000/B27</f>
        <v>193.93939393939394</v>
      </c>
      <c r="L27" s="59">
        <f>47.3/B27*1000</f>
        <v>23.888888888888886</v>
      </c>
      <c r="M27" s="59">
        <f>25/B27*1000</f>
        <v>12.626262626262626</v>
      </c>
      <c r="N27" s="103">
        <v>1.9</v>
      </c>
      <c r="O27" s="77">
        <f>63.5/B27*1000</f>
        <v>32.070707070707066</v>
      </c>
      <c r="P27" s="59">
        <f>9.3/B27*1000</f>
        <v>4.6969696969696981</v>
      </c>
      <c r="Q27" s="58">
        <v>29</v>
      </c>
      <c r="R27" s="100">
        <f>347000/B27</f>
        <v>175.25252525252526</v>
      </c>
      <c r="S27" s="59">
        <f>47.3/B27*1000</f>
        <v>23.888888888888886</v>
      </c>
      <c r="T27" s="59">
        <f>20.2/B27*1000</f>
        <v>10.202020202020202</v>
      </c>
      <c r="U27" s="59">
        <v>2.2999999999999998</v>
      </c>
      <c r="V27" s="60" t="s">
        <v>13</v>
      </c>
      <c r="W27" s="57" t="s">
        <v>63</v>
      </c>
      <c r="X27" s="65"/>
      <c r="Y27" s="72"/>
      <c r="Z27" s="29"/>
      <c r="AA27" s="29"/>
      <c r="AB27" s="34"/>
    </row>
    <row r="28" spans="1:29" ht="12.75" customHeight="1" x14ac:dyDescent="0.2">
      <c r="A28" s="28"/>
      <c r="B28" s="28"/>
      <c r="C28" s="28"/>
      <c r="D28" s="89"/>
      <c r="E28" s="28"/>
      <c r="F28" s="87"/>
      <c r="G28" s="28"/>
      <c r="H28" s="89"/>
      <c r="I28" s="88"/>
      <c r="J28" s="123"/>
      <c r="K28" s="123"/>
      <c r="L28" s="123"/>
      <c r="M28" s="123"/>
      <c r="N28" s="123"/>
      <c r="O28" s="28"/>
      <c r="P28" s="89"/>
      <c r="Q28" s="123"/>
      <c r="R28" s="123"/>
      <c r="S28" s="123"/>
      <c r="T28" s="123"/>
      <c r="U28" s="123"/>
      <c r="V28" s="28"/>
      <c r="W28" s="28"/>
      <c r="X28" s="28"/>
      <c r="Y28" s="28"/>
      <c r="Z28" s="28"/>
      <c r="AA28" s="28"/>
      <c r="AB28" s="28"/>
      <c r="AC28" s="28"/>
    </row>
    <row r="29" spans="1:29" ht="12.75" customHeight="1" x14ac:dyDescent="0.2">
      <c r="A29" s="28"/>
      <c r="B29" s="28"/>
      <c r="C29" s="28"/>
      <c r="D29" s="89"/>
      <c r="E29" s="28"/>
      <c r="F29" s="89"/>
      <c r="G29" s="28"/>
      <c r="H29" s="89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2.75" customHeight="1" x14ac:dyDescent="0.2">
      <c r="A30" s="28"/>
      <c r="B30" s="28"/>
      <c r="C30" s="89"/>
      <c r="D30" s="28"/>
      <c r="E30" s="89"/>
      <c r="F30" s="28"/>
      <c r="G30" s="28"/>
      <c r="H30" s="28"/>
      <c r="I30" s="36"/>
      <c r="J30" s="28"/>
      <c r="K30" s="36"/>
      <c r="L30" s="41"/>
      <c r="M30" s="41"/>
      <c r="N30" s="28"/>
      <c r="O30" s="28"/>
      <c r="P30" s="28"/>
      <c r="Q30" s="28"/>
      <c r="R30" s="36"/>
      <c r="S30" s="41"/>
      <c r="T30" s="41"/>
      <c r="U30" s="41"/>
      <c r="V30" s="28"/>
      <c r="W30" s="90"/>
      <c r="X30" s="90"/>
      <c r="Y30" s="90"/>
      <c r="Z30" s="90"/>
      <c r="AA30" s="28"/>
      <c r="AB30" s="28"/>
      <c r="AC30" s="28"/>
    </row>
    <row r="31" spans="1:29" ht="25.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25.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x14ac:dyDescent="0.2">
      <c r="A34" s="28"/>
      <c r="B34" s="28"/>
      <c r="C34" s="89"/>
      <c r="D34" s="28"/>
      <c r="E34" s="89"/>
      <c r="F34" s="28"/>
      <c r="G34" s="41"/>
      <c r="H34" s="28"/>
      <c r="I34" s="36"/>
      <c r="J34" s="28"/>
      <c r="K34" s="36"/>
      <c r="L34" s="28"/>
      <c r="M34" s="28"/>
      <c r="N34" s="28"/>
      <c r="O34" s="28"/>
      <c r="P34" s="91"/>
      <c r="Q34" s="36"/>
      <c r="R34" s="36"/>
      <c r="S34" s="28"/>
      <c r="T34" s="28"/>
      <c r="U34" s="41"/>
      <c r="V34" s="90"/>
      <c r="W34" s="90"/>
      <c r="X34" s="90"/>
      <c r="Y34" s="90"/>
      <c r="Z34" s="90"/>
      <c r="AA34" s="28"/>
      <c r="AB34" s="28"/>
      <c r="AC34" s="28"/>
    </row>
    <row r="35" spans="1:29" ht="12.75" customHeight="1" x14ac:dyDescent="0.2">
      <c r="A35" s="28"/>
      <c r="B35" s="28"/>
      <c r="C35" s="89"/>
      <c r="D35" s="89"/>
      <c r="E35" s="87"/>
      <c r="F35" s="87"/>
      <c r="G35" s="28"/>
      <c r="H35" s="28"/>
      <c r="I35" s="87"/>
      <c r="J35" s="92"/>
      <c r="K35" s="88"/>
      <c r="L35" s="28"/>
      <c r="M35" s="28"/>
      <c r="N35" s="28"/>
      <c r="O35" s="28"/>
      <c r="P35" s="28"/>
      <c r="Q35" s="92"/>
      <c r="R35" s="8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x14ac:dyDescent="0.2">
      <c r="A36" s="28"/>
      <c r="B36" s="28"/>
      <c r="C36" s="28"/>
      <c r="D36" s="89"/>
      <c r="E36" s="28"/>
      <c r="F36" s="87"/>
      <c r="G36" s="28"/>
      <c r="H36" s="89"/>
      <c r="I36" s="88"/>
      <c r="J36" s="123"/>
      <c r="K36" s="123"/>
      <c r="L36" s="123"/>
      <c r="M36" s="123"/>
      <c r="N36" s="123"/>
      <c r="O36" s="28"/>
      <c r="P36" s="89"/>
      <c r="Q36" s="123"/>
      <c r="R36" s="123"/>
      <c r="S36" s="123"/>
      <c r="T36" s="123"/>
      <c r="U36" s="123"/>
      <c r="V36" s="28"/>
      <c r="W36" s="28"/>
      <c r="X36" s="28"/>
      <c r="Y36" s="28"/>
      <c r="Z36" s="28"/>
      <c r="AA36" s="28"/>
      <c r="AB36" s="28"/>
      <c r="AC36" s="28"/>
    </row>
    <row r="37" spans="1:29" ht="12.75" customHeight="1" x14ac:dyDescent="0.2">
      <c r="A37" s="28"/>
      <c r="B37" s="28"/>
      <c r="C37" s="28"/>
      <c r="D37" s="89"/>
      <c r="E37" s="28"/>
      <c r="F37" s="89"/>
      <c r="G37" s="28"/>
      <c r="H37" s="89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2.75" customHeight="1" x14ac:dyDescent="0.2">
      <c r="A38" s="28"/>
      <c r="B38" s="28"/>
      <c r="C38" s="89"/>
      <c r="D38" s="28"/>
      <c r="E38" s="89"/>
      <c r="F38" s="28"/>
      <c r="G38" s="41"/>
      <c r="H38" s="28"/>
      <c r="I38" s="36"/>
      <c r="J38" s="28"/>
      <c r="K38" s="36"/>
      <c r="L38" s="41"/>
      <c r="M38" s="41"/>
      <c r="N38" s="41"/>
      <c r="O38" s="41"/>
      <c r="P38" s="28"/>
      <c r="Q38" s="28"/>
      <c r="R38" s="36"/>
      <c r="S38" s="41"/>
      <c r="T38" s="41"/>
      <c r="U38" s="41"/>
      <c r="V38" s="28"/>
      <c r="W38" s="90"/>
      <c r="X38" s="90"/>
      <c r="Y38" s="90"/>
      <c r="Z38" s="90"/>
      <c r="AA38" s="28"/>
      <c r="AB38" s="28"/>
      <c r="AC38" s="28"/>
    </row>
    <row r="39" spans="1:29" ht="25.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25.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25.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25.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12.75" customHeight="1" x14ac:dyDescent="0.2">
      <c r="A50" s="28"/>
      <c r="B50" s="28"/>
      <c r="C50" s="89"/>
      <c r="D50" s="89"/>
      <c r="E50" s="87"/>
      <c r="F50" s="87"/>
      <c r="G50" s="28"/>
      <c r="H50" s="28"/>
      <c r="I50" s="87"/>
      <c r="J50" s="92"/>
      <c r="K50" s="8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1:29" x14ac:dyDescent="0.2">
      <c r="A51" s="28"/>
      <c r="B51" s="28"/>
      <c r="C51" s="28"/>
      <c r="D51" s="89"/>
      <c r="E51" s="28"/>
      <c r="F51" s="87"/>
      <c r="G51" s="28"/>
      <c r="H51" s="89"/>
      <c r="I51" s="88"/>
      <c r="J51" s="123"/>
      <c r="K51" s="123"/>
      <c r="L51" s="123"/>
      <c r="M51" s="123"/>
      <c r="N51" s="123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29" ht="12.75" customHeight="1" x14ac:dyDescent="0.2">
      <c r="A52" s="28"/>
      <c r="B52" s="28"/>
      <c r="C52" s="28"/>
      <c r="D52" s="89"/>
      <c r="E52" s="28"/>
      <c r="F52" s="89"/>
      <c r="G52" s="28"/>
      <c r="H52" s="89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29" ht="12.75" customHeight="1" x14ac:dyDescent="0.2">
      <c r="A53" s="28"/>
      <c r="B53" s="28"/>
      <c r="C53" s="89"/>
      <c r="D53" s="28"/>
      <c r="E53" s="89"/>
      <c r="F53" s="28"/>
      <c r="G53" s="28"/>
      <c r="H53" s="28"/>
      <c r="I53" s="36"/>
      <c r="J53" s="28"/>
      <c r="K53" s="36"/>
      <c r="L53" s="41"/>
      <c r="M53" s="41"/>
      <c r="N53" s="41"/>
      <c r="O53" s="28"/>
      <c r="P53" s="90"/>
      <c r="Q53" s="90"/>
      <c r="R53" s="90"/>
      <c r="S53" s="28"/>
      <c r="T53" s="90"/>
      <c r="U53" s="90"/>
      <c r="V53" s="28"/>
      <c r="W53" s="28"/>
      <c r="X53" s="28"/>
      <c r="Y53" s="28"/>
      <c r="Z53" s="28"/>
      <c r="AA53" s="28"/>
      <c r="AB53" s="28"/>
      <c r="AC53" s="28"/>
    </row>
    <row r="54" spans="1:29" ht="25.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90"/>
      <c r="U54" s="90"/>
      <c r="V54" s="28"/>
      <c r="W54" s="28"/>
      <c r="X54" s="28"/>
      <c r="Y54" s="28"/>
      <c r="Z54" s="28"/>
      <c r="AA54" s="28"/>
      <c r="AB54" s="28"/>
      <c r="AC54" s="28"/>
    </row>
    <row r="55" spans="1:29" ht="12.75" customHeight="1" x14ac:dyDescent="0.2">
      <c r="A55" s="28"/>
      <c r="B55" s="28"/>
      <c r="C55" s="89"/>
      <c r="D55" s="28"/>
      <c r="E55" s="89"/>
      <c r="F55" s="28"/>
      <c r="G55" s="28"/>
      <c r="H55" s="28"/>
      <c r="I55" s="36"/>
      <c r="J55" s="28"/>
      <c r="K55" s="36"/>
      <c r="L55" s="41"/>
      <c r="M55" s="41"/>
      <c r="N55" s="28"/>
      <c r="O55" s="28"/>
      <c r="P55" s="90"/>
      <c r="Q55" s="90"/>
      <c r="R55" s="90"/>
      <c r="S55" s="28"/>
      <c r="T55" s="90"/>
      <c r="U55" s="90"/>
      <c r="V55" s="28"/>
      <c r="W55" s="28"/>
      <c r="X55" s="28"/>
      <c r="Y55" s="28"/>
      <c r="Z55" s="28"/>
      <c r="AA55" s="28"/>
      <c r="AB55" s="28"/>
      <c r="AC55" s="28"/>
    </row>
    <row r="56" spans="1:29" ht="25.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90"/>
      <c r="U56" s="90"/>
      <c r="V56" s="28"/>
      <c r="W56" s="28"/>
      <c r="X56" s="28"/>
      <c r="Y56" s="28"/>
      <c r="Z56" s="28"/>
      <c r="AA56" s="28"/>
      <c r="AB56" s="28"/>
      <c r="AC56" s="28"/>
    </row>
    <row r="57" spans="1:29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ht="12.75" customHeight="1" x14ac:dyDescent="0.2">
      <c r="A58" s="28"/>
      <c r="B58" s="28"/>
      <c r="C58" s="89"/>
      <c r="D58" s="89"/>
      <c r="E58" s="87"/>
      <c r="F58" s="87"/>
      <c r="G58" s="28"/>
      <c r="H58" s="28"/>
      <c r="I58" s="87"/>
      <c r="J58" s="92"/>
      <c r="K58" s="8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x14ac:dyDescent="0.2">
      <c r="A59" s="28"/>
      <c r="B59" s="28"/>
      <c r="C59" s="28"/>
      <c r="D59" s="89"/>
      <c r="E59" s="28"/>
      <c r="F59" s="87"/>
      <c r="G59" s="28"/>
      <c r="H59" s="89"/>
      <c r="I59" s="88"/>
      <c r="J59" s="123"/>
      <c r="K59" s="123"/>
      <c r="L59" s="123"/>
      <c r="M59" s="123"/>
      <c r="N59" s="123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ht="12.75" customHeight="1" x14ac:dyDescent="0.2">
      <c r="A60" s="28"/>
      <c r="B60" s="28"/>
      <c r="C60" s="28"/>
      <c r="D60" s="89"/>
      <c r="E60" s="28"/>
      <c r="F60" s="89"/>
      <c r="G60" s="28"/>
      <c r="H60" s="89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1:29" ht="12.75" customHeight="1" x14ac:dyDescent="0.2">
      <c r="A61" s="28"/>
      <c r="B61" s="28"/>
      <c r="C61" s="89"/>
      <c r="D61" s="28"/>
      <c r="E61" s="89"/>
      <c r="F61" s="28"/>
      <c r="G61" s="28"/>
      <c r="H61" s="28"/>
      <c r="I61" s="36"/>
      <c r="J61" s="28"/>
      <c r="K61" s="36"/>
      <c r="L61" s="91"/>
      <c r="M61" s="91"/>
      <c r="N61" s="28"/>
      <c r="O61" s="28"/>
      <c r="P61" s="90"/>
      <c r="Q61" s="90"/>
      <c r="R61" s="90"/>
      <c r="S61" s="28"/>
      <c r="T61" s="90"/>
      <c r="U61" s="90"/>
      <c r="V61" s="28"/>
      <c r="W61" s="28"/>
      <c r="X61" s="28"/>
      <c r="Y61" s="28"/>
      <c r="Z61" s="28"/>
      <c r="AA61" s="28"/>
      <c r="AB61" s="28"/>
      <c r="AC61" s="28"/>
    </row>
    <row r="62" spans="1:29" ht="25.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ht="12.75" customHeight="1" x14ac:dyDescent="0.2">
      <c r="A63" s="28"/>
      <c r="B63" s="28"/>
      <c r="C63" s="89"/>
      <c r="D63" s="28"/>
      <c r="E63" s="89"/>
      <c r="F63" s="28"/>
      <c r="G63" s="28"/>
      <c r="H63" s="28"/>
      <c r="I63" s="36"/>
      <c r="J63" s="28"/>
      <c r="K63" s="36"/>
      <c r="L63" s="91"/>
      <c r="M63" s="91"/>
      <c r="N63" s="28"/>
      <c r="O63" s="28"/>
      <c r="P63" s="90"/>
      <c r="Q63" s="90"/>
      <c r="R63" s="90"/>
      <c r="S63" s="28"/>
      <c r="T63" s="90"/>
      <c r="U63" s="90"/>
      <c r="V63" s="28"/>
      <c r="W63" s="28"/>
      <c r="X63" s="28"/>
      <c r="Y63" s="28"/>
      <c r="Z63" s="28"/>
      <c r="AA63" s="28"/>
      <c r="AB63" s="28"/>
      <c r="AC63" s="28"/>
    </row>
    <row r="64" spans="1:29" ht="25.5" customHeight="1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x14ac:dyDescent="0.2">
      <c r="A66" s="28"/>
      <c r="B66" s="28"/>
      <c r="C66" s="89"/>
      <c r="D66" s="89"/>
      <c r="E66" s="87"/>
      <c r="F66" s="87"/>
      <c r="G66" s="28"/>
      <c r="H66" s="28"/>
      <c r="I66" s="87"/>
      <c r="J66" s="92"/>
      <c r="K66" s="8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1:29" x14ac:dyDescent="0.2">
      <c r="A67" s="28"/>
      <c r="B67" s="28"/>
      <c r="C67" s="28"/>
      <c r="D67" s="89"/>
      <c r="E67" s="28"/>
      <c r="F67" s="87"/>
      <c r="G67" s="28"/>
      <c r="H67" s="89"/>
      <c r="I67" s="88"/>
      <c r="J67" s="123"/>
      <c r="K67" s="123"/>
      <c r="L67" s="123"/>
      <c r="M67" s="123"/>
      <c r="N67" s="123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1:29" x14ac:dyDescent="0.2">
      <c r="A68" s="28"/>
      <c r="B68" s="28"/>
      <c r="C68" s="28"/>
      <c r="D68" s="89"/>
      <c r="E68" s="28"/>
      <c r="F68" s="89"/>
      <c r="G68" s="28"/>
      <c r="H68" s="89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ht="12.75" customHeight="1" x14ac:dyDescent="0.2">
      <c r="A69" s="28"/>
      <c r="B69" s="28"/>
      <c r="C69" s="89"/>
      <c r="D69" s="28"/>
      <c r="E69" s="89"/>
      <c r="F69" s="28"/>
      <c r="G69" s="28"/>
      <c r="H69" s="28"/>
      <c r="I69" s="36"/>
      <c r="J69" s="28"/>
      <c r="K69" s="36"/>
      <c r="L69" s="91"/>
      <c r="M69" s="91"/>
      <c r="N69" s="28"/>
      <c r="O69" s="28"/>
      <c r="P69" s="90"/>
      <c r="Q69" s="90"/>
      <c r="R69" s="90"/>
      <c r="S69" s="28"/>
      <c r="T69" s="90"/>
      <c r="U69" s="90"/>
      <c r="V69" s="28"/>
      <c r="W69" s="28"/>
      <c r="X69" s="28"/>
      <c r="Y69" s="28"/>
      <c r="Z69" s="28"/>
      <c r="AA69" s="28"/>
      <c r="AB69" s="28"/>
      <c r="AC69" s="28"/>
    </row>
    <row r="70" spans="1:29" ht="25.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1:29" ht="12.75" customHeight="1" x14ac:dyDescent="0.2">
      <c r="A71" s="28"/>
      <c r="B71" s="28"/>
      <c r="C71" s="89"/>
      <c r="D71" s="28"/>
      <c r="E71" s="89"/>
      <c r="F71" s="28"/>
      <c r="G71" s="28"/>
      <c r="H71" s="28"/>
      <c r="I71" s="36"/>
      <c r="J71" s="28"/>
      <c r="K71" s="36"/>
      <c r="L71" s="91"/>
      <c r="M71" s="91"/>
      <c r="N71" s="41"/>
      <c r="O71" s="28"/>
      <c r="P71" s="90"/>
      <c r="Q71" s="90"/>
      <c r="R71" s="90"/>
      <c r="S71" s="28"/>
      <c r="T71" s="90"/>
      <c r="U71" s="90"/>
      <c r="V71" s="28"/>
      <c r="W71" s="28"/>
      <c r="X71" s="28"/>
      <c r="Y71" s="28"/>
      <c r="Z71" s="28"/>
      <c r="AA71" s="28"/>
      <c r="AB71" s="28"/>
      <c r="AC71" s="28"/>
    </row>
    <row r="72" spans="1:29" ht="25.5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1:29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90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1:29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1:29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spans="1:29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1:29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</sheetData>
  <sortState ref="A8:W27">
    <sortCondition descending="1" ref="O8"/>
  </sortState>
  <mergeCells count="13">
    <mergeCell ref="C3:D3"/>
    <mergeCell ref="E3:F3"/>
    <mergeCell ref="J4:N4"/>
    <mergeCell ref="Q4:U4"/>
    <mergeCell ref="L6:M6"/>
    <mergeCell ref="S6:T6"/>
    <mergeCell ref="J67:N67"/>
    <mergeCell ref="J28:N28"/>
    <mergeCell ref="Q28:U28"/>
    <mergeCell ref="J36:N36"/>
    <mergeCell ref="Q36:U36"/>
    <mergeCell ref="J51:N51"/>
    <mergeCell ref="J59:N5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AC78"/>
  <sheetViews>
    <sheetView zoomScale="80" zoomScaleNormal="80" workbookViewId="0">
      <pane xSplit="1" topLeftCell="B1" activePane="topRight" state="frozen"/>
      <selection pane="topRight" activeCell="E2" sqref="E2:U8"/>
    </sheetView>
  </sheetViews>
  <sheetFormatPr defaultRowHeight="12.6" x14ac:dyDescent="0.2"/>
  <cols>
    <col min="1" max="1" width="38" customWidth="1"/>
    <col min="2" max="2" width="7.6328125" customWidth="1"/>
    <col min="3" max="3" width="4.26953125" customWidth="1"/>
    <col min="5" max="5" width="4.453125" customWidth="1"/>
    <col min="7" max="7" width="10.90625" hidden="1" customWidth="1"/>
    <col min="8" max="8" width="8.26953125" hidden="1" customWidth="1"/>
    <col min="9" max="9" width="11.6328125" customWidth="1"/>
    <col min="10" max="10" width="4.453125" hidden="1" customWidth="1"/>
    <col min="11" max="11" width="12.36328125" hidden="1" customWidth="1"/>
    <col min="12" max="12" width="15" hidden="1" customWidth="1"/>
    <col min="13" max="13" width="9.453125" hidden="1" customWidth="1"/>
    <col min="14" max="14" width="9.36328125" hidden="1" customWidth="1"/>
    <col min="15" max="15" width="10.36328125" customWidth="1"/>
    <col min="16" max="16" width="8.453125" customWidth="1"/>
    <col min="17" max="17" width="4.453125" bestFit="1" customWidth="1"/>
    <col min="18" max="18" width="11.90625" customWidth="1"/>
    <col min="19" max="19" width="14.36328125" customWidth="1"/>
    <col min="20" max="20" width="10.08984375" customWidth="1"/>
    <col min="21" max="21" width="9.36328125" customWidth="1"/>
    <col min="22" max="22" width="40.08984375" customWidth="1"/>
    <col min="23" max="23" width="30.90625" customWidth="1"/>
    <col min="26" max="26" width="11" customWidth="1"/>
    <col min="29" max="29" width="10.90625" customWidth="1"/>
  </cols>
  <sheetData>
    <row r="1" spans="1:28" x14ac:dyDescent="0.2">
      <c r="A1" t="s">
        <v>0</v>
      </c>
      <c r="C1" t="s">
        <v>86</v>
      </c>
    </row>
    <row r="2" spans="1:28" x14ac:dyDescent="0.2"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</row>
    <row r="3" spans="1:28" x14ac:dyDescent="0.2">
      <c r="A3" s="45" t="s">
        <v>1</v>
      </c>
      <c r="B3" s="64" t="s">
        <v>82</v>
      </c>
      <c r="C3" s="124" t="s">
        <v>2</v>
      </c>
      <c r="D3" s="124"/>
      <c r="E3" s="134" t="s">
        <v>4</v>
      </c>
      <c r="F3" s="134"/>
      <c r="G3" s="135" t="s">
        <v>31</v>
      </c>
      <c r="H3" s="135"/>
      <c r="I3" s="136" t="s">
        <v>8</v>
      </c>
      <c r="J3" s="137" t="s">
        <v>77</v>
      </c>
      <c r="K3" s="135" t="s">
        <v>78</v>
      </c>
      <c r="L3" s="135" t="s">
        <v>74</v>
      </c>
      <c r="M3" s="135" t="s">
        <v>75</v>
      </c>
      <c r="N3" s="138" t="s">
        <v>76</v>
      </c>
      <c r="O3" s="135" t="s">
        <v>7</v>
      </c>
      <c r="P3" s="135"/>
      <c r="Q3" s="137" t="s">
        <v>77</v>
      </c>
      <c r="R3" s="135" t="s">
        <v>78</v>
      </c>
      <c r="S3" s="135" t="s">
        <v>74</v>
      </c>
      <c r="T3" s="135" t="s">
        <v>75</v>
      </c>
      <c r="U3" s="135" t="s">
        <v>76</v>
      </c>
      <c r="V3" s="48" t="s">
        <v>12</v>
      </c>
      <c r="W3" s="48"/>
      <c r="X3" s="51"/>
      <c r="Y3" s="29"/>
      <c r="Z3" s="29"/>
      <c r="AA3" s="29"/>
      <c r="AB3" s="29"/>
    </row>
    <row r="4" spans="1:28" x14ac:dyDescent="0.2">
      <c r="A4" s="52"/>
      <c r="B4" s="29"/>
      <c r="C4" s="29"/>
      <c r="D4" s="29"/>
      <c r="E4" s="139"/>
      <c r="F4" s="139"/>
      <c r="G4" s="139" t="s">
        <v>5</v>
      </c>
      <c r="H4" s="140" t="s">
        <v>6</v>
      </c>
      <c r="I4" s="139" t="s">
        <v>9</v>
      </c>
      <c r="J4" s="141" t="s">
        <v>80</v>
      </c>
      <c r="K4" s="141"/>
      <c r="L4" s="141"/>
      <c r="M4" s="141"/>
      <c r="N4" s="142"/>
      <c r="O4" s="139" t="s">
        <v>5</v>
      </c>
      <c r="P4" s="140" t="s">
        <v>6</v>
      </c>
      <c r="Q4" s="141" t="s">
        <v>81</v>
      </c>
      <c r="R4" s="141"/>
      <c r="S4" s="141"/>
      <c r="T4" s="141"/>
      <c r="U4" s="141"/>
      <c r="V4" s="29"/>
      <c r="W4" s="29"/>
      <c r="X4" s="53"/>
      <c r="Y4" s="29"/>
      <c r="Z4" s="29"/>
      <c r="AA4" s="29"/>
      <c r="AB4" s="29"/>
    </row>
    <row r="5" spans="1:28" hidden="1" x14ac:dyDescent="0.2">
      <c r="A5" s="52"/>
      <c r="B5" s="29"/>
      <c r="C5" s="29"/>
      <c r="D5" s="44"/>
      <c r="E5" s="139"/>
      <c r="F5" s="140"/>
      <c r="G5" s="139"/>
      <c r="H5" s="140"/>
      <c r="I5" s="139"/>
      <c r="J5" s="139"/>
      <c r="K5" s="139"/>
      <c r="L5" s="139"/>
      <c r="M5" s="139"/>
      <c r="N5" s="143"/>
      <c r="O5" s="139"/>
      <c r="P5" s="139"/>
      <c r="Q5" s="139"/>
      <c r="R5" s="139"/>
      <c r="S5" s="139"/>
      <c r="T5" s="139"/>
      <c r="U5" s="139"/>
      <c r="V5" s="29"/>
      <c r="W5" s="29"/>
      <c r="X5" s="53"/>
      <c r="Y5" s="29"/>
      <c r="Z5" s="29"/>
      <c r="AA5" s="29"/>
      <c r="AB5" s="29"/>
    </row>
    <row r="6" spans="1:28" x14ac:dyDescent="0.2">
      <c r="A6" s="52"/>
      <c r="B6" s="44" t="s">
        <v>83</v>
      </c>
      <c r="C6" s="29"/>
      <c r="D6" s="44" t="s">
        <v>3</v>
      </c>
      <c r="E6" s="139"/>
      <c r="F6" s="140" t="s">
        <v>3</v>
      </c>
      <c r="G6" s="139" t="s">
        <v>3</v>
      </c>
      <c r="H6" s="140" t="s">
        <v>3</v>
      </c>
      <c r="I6" s="139" t="s">
        <v>84</v>
      </c>
      <c r="J6" s="139"/>
      <c r="K6" s="144" t="s">
        <v>84</v>
      </c>
      <c r="L6" s="145" t="s">
        <v>85</v>
      </c>
      <c r="M6" s="145"/>
      <c r="N6" s="143"/>
      <c r="O6" s="139" t="s">
        <v>3</v>
      </c>
      <c r="P6" s="139" t="s">
        <v>3</v>
      </c>
      <c r="Q6" s="139"/>
      <c r="R6" s="139" t="s">
        <v>84</v>
      </c>
      <c r="S6" s="145" t="s">
        <v>85</v>
      </c>
      <c r="T6" s="145"/>
      <c r="U6" s="139"/>
      <c r="V6" s="29"/>
      <c r="W6" s="29"/>
      <c r="X6" s="53"/>
      <c r="Y6" s="29"/>
      <c r="Z6" s="29"/>
      <c r="AA6" s="29"/>
      <c r="AB6" s="29"/>
    </row>
    <row r="7" spans="1:28" ht="12.75" hidden="1" customHeight="1" x14ac:dyDescent="0.2">
      <c r="A7" s="52"/>
      <c r="B7" s="29"/>
      <c r="C7" s="44"/>
      <c r="D7" s="29"/>
      <c r="E7" s="140"/>
      <c r="F7" s="139"/>
      <c r="G7" s="139"/>
      <c r="H7" s="139"/>
      <c r="I7" s="147"/>
      <c r="J7" s="139"/>
      <c r="K7" s="147"/>
      <c r="L7" s="148"/>
      <c r="M7" s="148"/>
      <c r="N7" s="143"/>
      <c r="O7" s="139"/>
      <c r="P7" s="139"/>
      <c r="Q7" s="139"/>
      <c r="R7" s="147"/>
      <c r="S7" s="148"/>
      <c r="T7" s="148"/>
      <c r="U7" s="148"/>
      <c r="V7" s="29"/>
      <c r="W7" s="72"/>
      <c r="X7" s="53"/>
      <c r="Y7" s="72"/>
      <c r="Z7" s="72"/>
      <c r="AA7" s="29"/>
      <c r="AB7" s="29"/>
    </row>
    <row r="8" spans="1:28" ht="25.5" customHeight="1" x14ac:dyDescent="0.2">
      <c r="A8" s="52" t="s">
        <v>70</v>
      </c>
      <c r="B8" s="29">
        <v>140</v>
      </c>
      <c r="C8" s="44" t="s">
        <v>43</v>
      </c>
      <c r="D8" s="29">
        <v>354</v>
      </c>
      <c r="E8" s="140" t="s">
        <v>60</v>
      </c>
      <c r="F8" s="139">
        <v>81</v>
      </c>
      <c r="G8" s="148">
        <f>38.5/B8*1000</f>
        <v>275</v>
      </c>
      <c r="H8" s="148">
        <f>3.4/B8*1000</f>
        <v>24.285714285714285</v>
      </c>
      <c r="I8" s="147">
        <f>434000/B8</f>
        <v>3100</v>
      </c>
      <c r="J8" s="139">
        <v>8</v>
      </c>
      <c r="K8" s="147">
        <f>599000/B8</f>
        <v>4278.5714285714284</v>
      </c>
      <c r="L8" s="148">
        <f>14.4/B8*1000</f>
        <v>102.85714285714286</v>
      </c>
      <c r="M8" s="148">
        <f>14.6/B8*1000</f>
        <v>104.28571428571429</v>
      </c>
      <c r="N8" s="143">
        <v>1</v>
      </c>
      <c r="O8" s="148">
        <f>37.6/B8*1000</f>
        <v>268.57142857142856</v>
      </c>
      <c r="P8" s="148">
        <f>3.4/B8*1000</f>
        <v>24.285714285714285</v>
      </c>
      <c r="Q8" s="139">
        <v>9</v>
      </c>
      <c r="R8" s="149">
        <f>577000/B8</f>
        <v>4121.4285714285716</v>
      </c>
      <c r="S8" s="148">
        <f>14.4/B8*1000</f>
        <v>102.85714285714286</v>
      </c>
      <c r="T8" s="148">
        <f>14.4/B8*1000</f>
        <v>102.85714285714286</v>
      </c>
      <c r="U8" s="148">
        <v>1</v>
      </c>
      <c r="V8" s="34" t="s">
        <v>72</v>
      </c>
      <c r="W8" s="29" t="s">
        <v>79</v>
      </c>
      <c r="X8" s="53"/>
      <c r="Y8" s="72"/>
      <c r="Z8" s="72"/>
      <c r="AA8" s="29"/>
      <c r="AB8" s="29"/>
    </row>
    <row r="9" spans="1:28" ht="12.75" hidden="1" customHeight="1" x14ac:dyDescent="0.2">
      <c r="A9" s="52"/>
      <c r="B9" s="29"/>
      <c r="C9" s="44"/>
      <c r="D9" s="29"/>
      <c r="E9" s="44"/>
      <c r="F9" s="29"/>
      <c r="G9" s="33"/>
      <c r="H9" s="33"/>
      <c r="I9" s="31"/>
      <c r="J9" s="29"/>
      <c r="K9" s="31"/>
      <c r="L9" s="33"/>
      <c r="M9" s="33"/>
      <c r="N9" s="102"/>
      <c r="O9" s="33"/>
      <c r="P9" s="33"/>
      <c r="Q9" s="31"/>
      <c r="R9" s="70"/>
      <c r="S9" s="33"/>
      <c r="T9" s="33"/>
      <c r="U9" s="33"/>
      <c r="V9" s="29"/>
      <c r="W9" s="29"/>
      <c r="X9" s="53"/>
      <c r="Y9" s="72"/>
      <c r="Z9" s="72"/>
      <c r="AA9" s="29"/>
      <c r="AB9" s="29"/>
    </row>
    <row r="10" spans="1:28" ht="25.5" customHeight="1" x14ac:dyDescent="0.2">
      <c r="A10" s="52" t="s">
        <v>40</v>
      </c>
      <c r="B10" s="28">
        <v>140</v>
      </c>
      <c r="C10" s="44" t="s">
        <v>43</v>
      </c>
      <c r="D10" s="29">
        <v>354</v>
      </c>
      <c r="E10" s="44" t="s">
        <v>11</v>
      </c>
      <c r="F10" s="29">
        <v>45</v>
      </c>
      <c r="G10" s="33">
        <f>54.8/B10*1000</f>
        <v>391.42857142857139</v>
      </c>
      <c r="H10" s="33">
        <f>-1.5/B10*1000</f>
        <v>-10.714285714285714</v>
      </c>
      <c r="I10" s="31">
        <f>604000/B10</f>
        <v>4314.2857142857147</v>
      </c>
      <c r="J10" s="29">
        <v>10</v>
      </c>
      <c r="K10" s="31">
        <f>582000/B10</f>
        <v>4157.1428571428569</v>
      </c>
      <c r="L10" s="33">
        <f>28.8/B10*1000</f>
        <v>205.71428571428572</v>
      </c>
      <c r="M10" s="33">
        <f>15.3/B10*1000</f>
        <v>109.28571428571429</v>
      </c>
      <c r="N10" s="105">
        <v>1.9</v>
      </c>
      <c r="O10" s="33">
        <f>54.8/B10*1000</f>
        <v>391.42857142857139</v>
      </c>
      <c r="P10" s="33">
        <f>-1.8/B10*1000</f>
        <v>-12.857142857142858</v>
      </c>
      <c r="Q10" s="29">
        <v>10</v>
      </c>
      <c r="R10" s="70">
        <f>573000/B10</f>
        <v>4092.8571428571427</v>
      </c>
      <c r="S10" s="33">
        <f>28.8/B10*1000</f>
        <v>205.71428571428572</v>
      </c>
      <c r="T10" s="33">
        <f>15.1/B10*1000</f>
        <v>107.85714285714286</v>
      </c>
      <c r="U10" s="33">
        <v>1.9</v>
      </c>
      <c r="V10" s="107" t="s">
        <v>71</v>
      </c>
      <c r="W10" s="29" t="s">
        <v>65</v>
      </c>
      <c r="X10" s="53"/>
      <c r="Y10" s="72"/>
      <c r="Z10" s="72"/>
      <c r="AA10" s="29"/>
      <c r="AB10" s="29"/>
    </row>
    <row r="11" spans="1:28" ht="12.75" hidden="1" customHeight="1" x14ac:dyDescent="0.2">
      <c r="A11" s="52"/>
      <c r="B11" s="29"/>
      <c r="C11" s="44"/>
      <c r="D11" s="29"/>
      <c r="E11" s="44"/>
      <c r="F11" s="29"/>
      <c r="G11" s="33"/>
      <c r="H11" s="33"/>
      <c r="I11" s="31"/>
      <c r="J11" s="29"/>
      <c r="K11" s="31"/>
      <c r="L11" s="33"/>
      <c r="M11" s="33"/>
      <c r="N11" s="102"/>
      <c r="O11" s="33"/>
      <c r="P11" s="33"/>
      <c r="Q11" s="31"/>
      <c r="R11" s="70"/>
      <c r="S11" s="33"/>
      <c r="T11" s="33"/>
      <c r="U11" s="33"/>
      <c r="V11" s="29"/>
      <c r="W11" s="29"/>
      <c r="X11" s="53"/>
      <c r="Y11" s="72"/>
      <c r="Z11" s="72"/>
      <c r="AA11" s="29"/>
      <c r="AB11" s="29"/>
    </row>
    <row r="12" spans="1:28" ht="25.5" customHeight="1" x14ac:dyDescent="0.2">
      <c r="A12" s="55" t="s">
        <v>28</v>
      </c>
      <c r="B12" s="57">
        <v>144</v>
      </c>
      <c r="C12" s="56" t="s">
        <v>32</v>
      </c>
      <c r="D12" s="57">
        <v>202</v>
      </c>
      <c r="E12" s="56" t="s">
        <v>11</v>
      </c>
      <c r="F12" s="57">
        <v>38</v>
      </c>
      <c r="G12" s="59">
        <f>31.7/B12*1000</f>
        <v>220.13888888888889</v>
      </c>
      <c r="H12" s="59">
        <f>-2.1/B12*1000</f>
        <v>-14.583333333333334</v>
      </c>
      <c r="I12" s="58">
        <f>523000/B12</f>
        <v>3631.9444444444443</v>
      </c>
      <c r="J12" s="57">
        <v>15</v>
      </c>
      <c r="K12" s="58">
        <f>267000/B12</f>
        <v>1854.1666666666667</v>
      </c>
      <c r="L12" s="59">
        <f>30.5/B12*1000</f>
        <v>211.80555555555554</v>
      </c>
      <c r="M12" s="59">
        <f>8.1/B12*1000</f>
        <v>56.249999999999993</v>
      </c>
      <c r="N12" s="103">
        <v>3.8</v>
      </c>
      <c r="O12" s="59">
        <f>31.7/B12*1000</f>
        <v>220.13888888888889</v>
      </c>
      <c r="P12" s="59">
        <f>-2.2/B12*1000</f>
        <v>-15.277777777777779</v>
      </c>
      <c r="Q12" s="57">
        <v>15</v>
      </c>
      <c r="R12" s="71">
        <f>265000/B12</f>
        <v>1840.2777777777778</v>
      </c>
      <c r="S12" s="59">
        <f>30.5/B12*1000</f>
        <v>211.80555555555554</v>
      </c>
      <c r="T12" s="59">
        <f>8/B12*1000</f>
        <v>55.55555555555555</v>
      </c>
      <c r="U12" s="59">
        <v>3.8</v>
      </c>
      <c r="V12" s="60" t="s">
        <v>14</v>
      </c>
      <c r="W12" s="29" t="s">
        <v>65</v>
      </c>
      <c r="X12" s="65"/>
      <c r="Y12" s="72"/>
      <c r="Z12" s="72"/>
      <c r="AA12" s="29"/>
      <c r="AB12" s="29"/>
    </row>
    <row r="13" spans="1:28" ht="25.5" customHeight="1" x14ac:dyDescent="0.2">
      <c r="A13" s="45" t="s">
        <v>68</v>
      </c>
      <c r="B13" s="80">
        <v>140</v>
      </c>
      <c r="C13" s="64" t="s">
        <v>38</v>
      </c>
      <c r="D13" s="48">
        <v>256</v>
      </c>
      <c r="E13" s="64" t="s">
        <v>60</v>
      </c>
      <c r="F13" s="48">
        <v>84</v>
      </c>
      <c r="G13" s="97">
        <f>22.8/B13*1000</f>
        <v>162.85714285714286</v>
      </c>
      <c r="H13" s="97">
        <f>3.4/B13*1000</f>
        <v>24.285714285714285</v>
      </c>
      <c r="I13" s="93">
        <f>396000/B13</f>
        <v>2828.5714285714284</v>
      </c>
      <c r="J13" s="48">
        <v>12</v>
      </c>
      <c r="K13" s="93">
        <f>250000/B13</f>
        <v>1785.7142857142858</v>
      </c>
      <c r="L13" s="106">
        <f>12.5/B13*1000</f>
        <v>89.285714285714292</v>
      </c>
      <c r="M13" s="106">
        <f>10/B13*1000</f>
        <v>71.428571428571431</v>
      </c>
      <c r="N13" s="101">
        <v>1.3</v>
      </c>
      <c r="O13" s="97">
        <f>21.8/B13*1000</f>
        <v>155.71428571428572</v>
      </c>
      <c r="P13" s="97">
        <f>3.4/B13*1000</f>
        <v>24.285714285714285</v>
      </c>
      <c r="Q13" s="93">
        <v>13</v>
      </c>
      <c r="R13" s="96">
        <f>226000/B13</f>
        <v>1614.2857142857142</v>
      </c>
      <c r="S13" s="97">
        <f>12.5/B13*1000</f>
        <v>89.285714285714292</v>
      </c>
      <c r="T13" s="97">
        <f>9.8/B13*1000</f>
        <v>70</v>
      </c>
      <c r="U13" s="97">
        <v>1.3</v>
      </c>
      <c r="V13" s="108" t="s">
        <v>72</v>
      </c>
      <c r="W13" s="48" t="s">
        <v>79</v>
      </c>
      <c r="X13" s="51"/>
      <c r="Y13" s="72"/>
      <c r="Z13" s="72"/>
      <c r="AA13" s="29"/>
      <c r="AB13" s="29"/>
    </row>
    <row r="14" spans="1:28" ht="25.5" customHeight="1" x14ac:dyDescent="0.2">
      <c r="A14" s="52" t="s">
        <v>42</v>
      </c>
      <c r="B14" s="29">
        <v>140</v>
      </c>
      <c r="C14" s="44" t="s">
        <v>38</v>
      </c>
      <c r="D14" s="29">
        <v>256</v>
      </c>
      <c r="E14" s="44" t="s">
        <v>11</v>
      </c>
      <c r="F14" s="29">
        <v>49</v>
      </c>
      <c r="G14" s="33">
        <f>39.8/B14*1000</f>
        <v>284.28571428571428</v>
      </c>
      <c r="H14" s="33">
        <f>-1.7/B14*1000</f>
        <v>-12.142857142857142</v>
      </c>
      <c r="I14" s="31">
        <f>566000/B14</f>
        <v>4042.8571428571427</v>
      </c>
      <c r="J14" s="29">
        <v>14</v>
      </c>
      <c r="K14" s="31">
        <f>216000/B14</f>
        <v>1542.8571428571429</v>
      </c>
      <c r="L14" s="41">
        <f>27/B14*1000</f>
        <v>192.85714285714286</v>
      </c>
      <c r="M14" s="41">
        <f>10.7/B14*1000</f>
        <v>76.428571428571431</v>
      </c>
      <c r="N14" s="102">
        <v>2.5</v>
      </c>
      <c r="O14" s="33">
        <f>39.8/B14*1000</f>
        <v>284.28571428571428</v>
      </c>
      <c r="P14" s="33">
        <f>-2/B14*1000</f>
        <v>-14.285714285714285</v>
      </c>
      <c r="Q14" s="31">
        <v>14</v>
      </c>
      <c r="R14" s="70">
        <f>208000/B14</f>
        <v>1485.7142857142858</v>
      </c>
      <c r="S14" s="33">
        <f>27/B14*1000</f>
        <v>192.85714285714286</v>
      </c>
      <c r="T14" s="33">
        <f>10.5/B14*1000</f>
        <v>75</v>
      </c>
      <c r="U14" s="33">
        <v>2.6</v>
      </c>
      <c r="V14" s="34" t="s">
        <v>71</v>
      </c>
      <c r="W14" s="29" t="s">
        <v>65</v>
      </c>
      <c r="X14" s="53"/>
      <c r="Y14" s="35"/>
      <c r="Z14" s="35"/>
      <c r="AA14" s="29"/>
      <c r="AB14" s="29"/>
    </row>
    <row r="15" spans="1:28" ht="25.5" customHeight="1" x14ac:dyDescent="0.2">
      <c r="A15" s="55" t="s">
        <v>30</v>
      </c>
      <c r="B15" s="57">
        <v>144</v>
      </c>
      <c r="C15" s="56" t="s">
        <v>32</v>
      </c>
      <c r="D15" s="57">
        <v>202</v>
      </c>
      <c r="E15" s="56" t="s">
        <v>10</v>
      </c>
      <c r="F15" s="57">
        <v>119</v>
      </c>
      <c r="G15" s="59">
        <f>31.7/B15*1000</f>
        <v>220.13888888888889</v>
      </c>
      <c r="H15" s="59">
        <f>-6.7/B15*1000</f>
        <v>-46.527777777777779</v>
      </c>
      <c r="I15" s="58">
        <f>332000/B15</f>
        <v>2305.5555555555557</v>
      </c>
      <c r="J15" s="57">
        <v>14</v>
      </c>
      <c r="K15" s="58">
        <f>185000/B15</f>
        <v>1284.7222222222222</v>
      </c>
      <c r="L15" s="59">
        <f>17.1/B15*1000</f>
        <v>118.75000000000001</v>
      </c>
      <c r="M15" s="59">
        <f>5.2/B15*1000</f>
        <v>36.111111111111114</v>
      </c>
      <c r="N15" s="103">
        <v>3.3</v>
      </c>
      <c r="O15" s="59">
        <f>31.7/B15*1000</f>
        <v>220.13888888888889</v>
      </c>
      <c r="P15" s="59">
        <f>-7.1/B15*1000</f>
        <v>-49.305555555555557</v>
      </c>
      <c r="Q15" s="58">
        <v>14</v>
      </c>
      <c r="R15" s="71">
        <f>176000/B15</f>
        <v>1222.2222222222222</v>
      </c>
      <c r="S15" s="59">
        <f>17.1/B15*1000</f>
        <v>118.75000000000001</v>
      </c>
      <c r="T15" s="59">
        <f>5/B15*1000</f>
        <v>34.722222222222221</v>
      </c>
      <c r="U15" s="59">
        <v>3.4</v>
      </c>
      <c r="V15" s="60" t="s">
        <v>33</v>
      </c>
      <c r="W15" s="57" t="s">
        <v>62</v>
      </c>
      <c r="X15" s="65"/>
      <c r="Y15" s="72"/>
      <c r="Z15" s="72"/>
      <c r="AA15" s="29"/>
      <c r="AB15" s="29"/>
    </row>
    <row r="16" spans="1:28" ht="25.5" customHeight="1" x14ac:dyDescent="0.2">
      <c r="A16" s="45" t="s">
        <v>36</v>
      </c>
      <c r="B16" s="48">
        <v>216</v>
      </c>
      <c r="C16" s="64" t="s">
        <v>38</v>
      </c>
      <c r="D16" s="48">
        <v>282</v>
      </c>
      <c r="E16" s="64" t="s">
        <v>10</v>
      </c>
      <c r="F16" s="48">
        <v>106</v>
      </c>
      <c r="G16" s="97">
        <f>45.8/B16*1000</f>
        <v>212.03703703703701</v>
      </c>
      <c r="H16" s="97">
        <f>2.1/B16*1000</f>
        <v>9.7222222222222232</v>
      </c>
      <c r="I16" s="93">
        <f>469000/B16</f>
        <v>2171.2962962962961</v>
      </c>
      <c r="J16" s="48">
        <v>14</v>
      </c>
      <c r="K16" s="99">
        <f>244000/B16</f>
        <v>1129.6296296296296</v>
      </c>
      <c r="L16" s="95">
        <f>5.8/B16*1000</f>
        <v>26.851851851851851</v>
      </c>
      <c r="M16" s="95">
        <f>11.7/B16*1000</f>
        <v>54.166666666666664</v>
      </c>
      <c r="N16" s="101">
        <v>0.5</v>
      </c>
      <c r="O16" s="97">
        <f>43.8/B16*1000</f>
        <v>202.77777777777774</v>
      </c>
      <c r="P16" s="97">
        <f>2.1/B16*1000</f>
        <v>9.7222222222222232</v>
      </c>
      <c r="Q16" s="48">
        <v>14</v>
      </c>
      <c r="R16" s="96">
        <f>242000/B16</f>
        <v>1120.3703703703704</v>
      </c>
      <c r="S16" s="95">
        <f>5.8/B16*1000</f>
        <v>26.851851851851851</v>
      </c>
      <c r="T16" s="95">
        <f>11.2/B16*1000</f>
        <v>51.851851851851848</v>
      </c>
      <c r="U16" s="48">
        <v>0.5</v>
      </c>
      <c r="V16" s="98" t="s">
        <v>13</v>
      </c>
      <c r="W16" s="48" t="s">
        <v>73</v>
      </c>
      <c r="X16" s="51"/>
      <c r="Y16" s="72"/>
      <c r="Z16" s="72"/>
      <c r="AA16" s="29"/>
      <c r="AB16" s="29"/>
    </row>
    <row r="17" spans="1:29" ht="25.5" customHeight="1" x14ac:dyDescent="0.2">
      <c r="A17" s="55" t="s">
        <v>34</v>
      </c>
      <c r="B17" s="66">
        <v>216</v>
      </c>
      <c r="C17" s="56" t="s">
        <v>38</v>
      </c>
      <c r="D17" s="57">
        <v>282</v>
      </c>
      <c r="E17" s="56" t="s">
        <v>11</v>
      </c>
      <c r="F17" s="57">
        <v>78</v>
      </c>
      <c r="G17" s="59">
        <f>54/B17*1000</f>
        <v>250</v>
      </c>
      <c r="H17" s="59">
        <f>2.1/B17*1000</f>
        <v>9.7222222222222232</v>
      </c>
      <c r="I17" s="58">
        <f>766000/B17</f>
        <v>3546.2962962962961</v>
      </c>
      <c r="J17" s="57">
        <v>20</v>
      </c>
      <c r="K17" s="100">
        <f>207000/B17</f>
        <v>958.33333333333337</v>
      </c>
      <c r="L17" s="62">
        <f>10.3/B17*1000</f>
        <v>47.68518518518519</v>
      </c>
      <c r="M17" s="62">
        <f>13.5/B17*1000</f>
        <v>62.5</v>
      </c>
      <c r="N17" s="103">
        <v>0.8</v>
      </c>
      <c r="O17" s="59">
        <f>52.8/B17*1000</f>
        <v>244.44444444444443</v>
      </c>
      <c r="P17" s="59">
        <f>2.1/B17*1000</f>
        <v>9.7222222222222232</v>
      </c>
      <c r="Q17" s="57">
        <v>20</v>
      </c>
      <c r="R17" s="71">
        <f>202000/B17</f>
        <v>935.18518518518522</v>
      </c>
      <c r="S17" s="62">
        <f>10.3/B17*1000</f>
        <v>47.68518518518519</v>
      </c>
      <c r="T17" s="62">
        <f>13.3/B17*1000</f>
        <v>61.574074074074076</v>
      </c>
      <c r="U17" s="57">
        <v>0.8</v>
      </c>
      <c r="V17" s="60" t="s">
        <v>14</v>
      </c>
      <c r="W17" s="57" t="s">
        <v>65</v>
      </c>
      <c r="X17" s="65"/>
      <c r="Y17" s="72"/>
      <c r="Z17" s="72"/>
      <c r="AA17" s="29"/>
      <c r="AB17" s="29"/>
    </row>
    <row r="18" spans="1:29" ht="25.5" customHeight="1" x14ac:dyDescent="0.2">
      <c r="A18" s="45" t="s">
        <v>53</v>
      </c>
      <c r="B18" s="48">
        <v>3300</v>
      </c>
      <c r="C18" s="64" t="s">
        <v>18</v>
      </c>
      <c r="D18" s="48">
        <v>141</v>
      </c>
      <c r="E18" s="64" t="s">
        <v>10</v>
      </c>
      <c r="F18" s="48">
        <v>93</v>
      </c>
      <c r="G18" s="97">
        <f>214.5/B18*1000</f>
        <v>65</v>
      </c>
      <c r="H18" s="97">
        <f>9.3/B18*1000</f>
        <v>2.8181818181818183</v>
      </c>
      <c r="I18" s="93">
        <f>1602000/B18</f>
        <v>485.45454545454544</v>
      </c>
      <c r="J18" s="48">
        <v>13</v>
      </c>
      <c r="K18" s="93">
        <f>1402000/B18</f>
        <v>424.84848484848487</v>
      </c>
      <c r="L18" s="94">
        <f>37.1/B18*1000</f>
        <v>11.242424242424242</v>
      </c>
      <c r="M18" s="94">
        <f>54.5/B18*1000</f>
        <v>16.515151515151516</v>
      </c>
      <c r="N18" s="101">
        <v>0.7</v>
      </c>
      <c r="O18" s="97">
        <f>180.1/B18*1000</f>
        <v>54.575757575757578</v>
      </c>
      <c r="P18" s="97">
        <f>9.3/B18*1000</f>
        <v>2.8181818181818183</v>
      </c>
      <c r="Q18" s="93">
        <v>14</v>
      </c>
      <c r="R18" s="96">
        <f>1304000/B18</f>
        <v>395.15151515151513</v>
      </c>
      <c r="S18" s="97">
        <f>37.1/B18*1000</f>
        <v>11.242424242424242</v>
      </c>
      <c r="T18" s="97">
        <f>46.7/B18*1000</f>
        <v>14.151515151515152</v>
      </c>
      <c r="U18" s="97">
        <v>0.8</v>
      </c>
      <c r="V18" s="98" t="s">
        <v>13</v>
      </c>
      <c r="W18" s="48" t="s">
        <v>63</v>
      </c>
      <c r="X18" s="51"/>
      <c r="Y18" s="72"/>
      <c r="Z18" s="72"/>
      <c r="AA18" s="29"/>
      <c r="AB18" s="29"/>
    </row>
    <row r="19" spans="1:29" ht="25.5" customHeight="1" x14ac:dyDescent="0.2">
      <c r="A19" s="52" t="s">
        <v>48</v>
      </c>
      <c r="B19" s="29">
        <v>1525</v>
      </c>
      <c r="C19" s="44" t="s">
        <v>38</v>
      </c>
      <c r="D19" s="29">
        <v>220</v>
      </c>
      <c r="E19" s="44" t="s">
        <v>10</v>
      </c>
      <c r="F19" s="29">
        <v>128</v>
      </c>
      <c r="G19" s="33">
        <f>143.2/B19*1000</f>
        <v>93.901639344262293</v>
      </c>
      <c r="H19" s="33">
        <f>14.5/B19*1000</f>
        <v>9.5081967213114762</v>
      </c>
      <c r="I19" s="31">
        <f>1617000/B19</f>
        <v>1060.327868852459</v>
      </c>
      <c r="J19" s="29">
        <v>14</v>
      </c>
      <c r="K19" s="36">
        <f>520000/B19</f>
        <v>340.98360655737707</v>
      </c>
      <c r="L19" s="32">
        <f>45/B19*1000</f>
        <v>29.508196721311478</v>
      </c>
      <c r="M19" s="32">
        <f>41.5/B19*1000</f>
        <v>27.21311475409836</v>
      </c>
      <c r="N19" s="105">
        <v>1.1000000000000001</v>
      </c>
      <c r="O19" s="33">
        <f>120/B19*1000</f>
        <v>78.688524590163937</v>
      </c>
      <c r="P19" s="33">
        <f>14.5/B19*1000</f>
        <v>9.5081967213114762</v>
      </c>
      <c r="Q19" s="29">
        <v>14</v>
      </c>
      <c r="R19" s="70">
        <f>505000/B19</f>
        <v>331.14754098360658</v>
      </c>
      <c r="S19" s="32">
        <f>45/B19*1000</f>
        <v>29.508196721311478</v>
      </c>
      <c r="T19" s="32">
        <f>36.3/B19*1000</f>
        <v>23.803278688524589</v>
      </c>
      <c r="U19" s="33">
        <v>1.2</v>
      </c>
      <c r="V19" s="34" t="s">
        <v>46</v>
      </c>
      <c r="W19" s="29" t="s">
        <v>63</v>
      </c>
      <c r="X19" s="53"/>
      <c r="Y19" s="35"/>
      <c r="Z19" s="29"/>
      <c r="AA19" s="29"/>
      <c r="AB19" s="29"/>
    </row>
    <row r="20" spans="1:29" ht="25.5" customHeight="1" x14ac:dyDescent="0.2">
      <c r="A20" s="52" t="s">
        <v>20</v>
      </c>
      <c r="B20" s="29">
        <v>1980</v>
      </c>
      <c r="C20" s="44" t="s">
        <v>18</v>
      </c>
      <c r="D20" s="29">
        <v>139</v>
      </c>
      <c r="E20" s="44" t="s">
        <v>10</v>
      </c>
      <c r="F20" s="29">
        <v>94</v>
      </c>
      <c r="G20" s="33">
        <f>84.6/B20*1000</f>
        <v>42.727272727272727</v>
      </c>
      <c r="H20" s="33">
        <f>9.3/B20*1000</f>
        <v>4.6969696969696981</v>
      </c>
      <c r="I20" s="31">
        <f>1989000/B20</f>
        <v>1004.5454545454545</v>
      </c>
      <c r="J20" s="29">
        <v>28</v>
      </c>
      <c r="K20" s="31">
        <f>384000/B20</f>
        <v>193.93939393939394</v>
      </c>
      <c r="L20" s="33">
        <f>47.3/B20*1000</f>
        <v>23.888888888888886</v>
      </c>
      <c r="M20" s="33">
        <f>25/B20*1000</f>
        <v>12.626262626262626</v>
      </c>
      <c r="N20" s="102">
        <v>1.9</v>
      </c>
      <c r="O20" s="33">
        <f>63.5/B20*1000</f>
        <v>32.070707070707066</v>
      </c>
      <c r="P20" s="33">
        <f>9.3/B20*1000</f>
        <v>4.6969696969696981</v>
      </c>
      <c r="Q20" s="31">
        <v>29</v>
      </c>
      <c r="R20" s="70">
        <f>347000/B20</f>
        <v>175.25252525252526</v>
      </c>
      <c r="S20" s="33">
        <f>47.3/B20*1000</f>
        <v>23.888888888888886</v>
      </c>
      <c r="T20" s="33">
        <f>20.2/B20*1000</f>
        <v>10.202020202020202</v>
      </c>
      <c r="U20" s="33">
        <v>2.2999999999999998</v>
      </c>
      <c r="V20" s="34" t="s">
        <v>13</v>
      </c>
      <c r="W20" s="29" t="s">
        <v>63</v>
      </c>
      <c r="X20" s="53"/>
      <c r="Y20" s="35"/>
      <c r="Z20" s="29"/>
      <c r="AA20" s="29"/>
      <c r="AB20" s="29"/>
    </row>
    <row r="21" spans="1:29" ht="25.5" customHeight="1" x14ac:dyDescent="0.2">
      <c r="A21" s="55" t="s">
        <v>45</v>
      </c>
      <c r="B21" s="57">
        <v>1525</v>
      </c>
      <c r="C21" s="56" t="s">
        <v>38</v>
      </c>
      <c r="D21" s="57">
        <v>220</v>
      </c>
      <c r="E21" s="56" t="s">
        <v>10</v>
      </c>
      <c r="F21" s="57">
        <v>120</v>
      </c>
      <c r="G21" s="59">
        <f>160.6/B21*1000</f>
        <v>105.31147540983605</v>
      </c>
      <c r="H21" s="59">
        <f>14.5/B21*1000</f>
        <v>9.5081967213114762</v>
      </c>
      <c r="I21" s="58">
        <f>2945000/B21</f>
        <v>1931.1475409836066</v>
      </c>
      <c r="J21" s="57">
        <v>23</v>
      </c>
      <c r="K21" s="100">
        <f>3000/B21</f>
        <v>1.9672131147540983</v>
      </c>
      <c r="L21" s="62">
        <f>52/B21*1000</f>
        <v>34.098360655737707</v>
      </c>
      <c r="M21" s="62">
        <f>45.5/B21*1000</f>
        <v>29.83606557377049</v>
      </c>
      <c r="N21" s="103">
        <v>1.1000000000000001</v>
      </c>
      <c r="O21" s="59">
        <f>139.1/B21*1000</f>
        <v>91.213114754098356</v>
      </c>
      <c r="P21" s="59">
        <f>14.5/B21*1000</f>
        <v>9.5081967213114762</v>
      </c>
      <c r="Q21" s="57">
        <v>23</v>
      </c>
      <c r="R21" s="71">
        <f>-24000/B21</f>
        <v>-15.737704918032787</v>
      </c>
      <c r="S21" s="62">
        <f>52/B21*1000</f>
        <v>34.098360655737707</v>
      </c>
      <c r="T21" s="62">
        <f>40.6/B21*1000</f>
        <v>26.622950819672131</v>
      </c>
      <c r="U21" s="57">
        <v>1.3</v>
      </c>
      <c r="V21" s="60" t="s">
        <v>14</v>
      </c>
      <c r="W21" s="29" t="s">
        <v>65</v>
      </c>
      <c r="X21" s="65"/>
      <c r="Y21" s="72"/>
      <c r="Z21" s="72"/>
      <c r="AA21" s="29"/>
      <c r="AB21" s="29"/>
    </row>
    <row r="22" spans="1:29" ht="25.5" customHeight="1" x14ac:dyDescent="0.2">
      <c r="A22" s="45" t="s">
        <v>21</v>
      </c>
      <c r="B22" s="48">
        <v>1980</v>
      </c>
      <c r="C22" s="64" t="s">
        <v>18</v>
      </c>
      <c r="D22" s="48">
        <v>139</v>
      </c>
      <c r="E22" s="64" t="s">
        <v>10</v>
      </c>
      <c r="F22" s="48">
        <v>83</v>
      </c>
      <c r="G22" s="97">
        <f>114.6/B22*1000</f>
        <v>57.878787878787875</v>
      </c>
      <c r="H22" s="97">
        <f>10.4/B22*1000</f>
        <v>5.2525252525252526</v>
      </c>
      <c r="I22" s="93">
        <f>2661000/B22</f>
        <v>1343.939393939394</v>
      </c>
      <c r="J22" s="48">
        <v>28</v>
      </c>
      <c r="K22" s="93">
        <f>-14000/B22</f>
        <v>-7.0707070707070709</v>
      </c>
      <c r="L22" s="97">
        <f>39/B22*1000</f>
        <v>19.696969696969695</v>
      </c>
      <c r="M22" s="97">
        <f>32.5/B22*1000</f>
        <v>16.414141414141415</v>
      </c>
      <c r="N22" s="101">
        <v>1.2</v>
      </c>
      <c r="O22" s="97">
        <f>96.4/B22*1000</f>
        <v>48.686868686868685</v>
      </c>
      <c r="P22" s="97">
        <f>10.4/B22*1000</f>
        <v>5.2525252525252526</v>
      </c>
      <c r="Q22" s="93">
        <v>29</v>
      </c>
      <c r="R22" s="96">
        <f>-36000/B22</f>
        <v>-18.181818181818183</v>
      </c>
      <c r="S22" s="97">
        <f>39/B22*1000</f>
        <v>19.696969696969695</v>
      </c>
      <c r="T22" s="97">
        <f>28.4/B22*1000</f>
        <v>14.343434343434343</v>
      </c>
      <c r="U22" s="97">
        <v>1.4</v>
      </c>
      <c r="V22" s="98" t="s">
        <v>26</v>
      </c>
      <c r="W22" s="48" t="s">
        <v>62</v>
      </c>
      <c r="X22" s="51"/>
      <c r="Y22" s="72"/>
      <c r="Z22" s="29"/>
      <c r="AA22" s="29"/>
      <c r="AB22" s="29"/>
    </row>
    <row r="23" spans="1:29" ht="25.5" customHeight="1" x14ac:dyDescent="0.2">
      <c r="A23" s="55" t="s">
        <v>59</v>
      </c>
      <c r="B23" s="57">
        <v>334</v>
      </c>
      <c r="C23" s="56" t="s">
        <v>32</v>
      </c>
      <c r="D23" s="57">
        <v>220</v>
      </c>
      <c r="E23" s="56" t="s">
        <v>10</v>
      </c>
      <c r="F23" s="57">
        <v>104</v>
      </c>
      <c r="G23" s="59">
        <f>41.2/B23*1000</f>
        <v>123.35329341317366</v>
      </c>
      <c r="H23" s="59">
        <f>3.8/B23*1000</f>
        <v>11.377245508982035</v>
      </c>
      <c r="I23" s="58">
        <f>809000/B23</f>
        <v>2422.1556886227545</v>
      </c>
      <c r="J23" s="57">
        <v>24</v>
      </c>
      <c r="K23" s="100">
        <f>-22000/B23</f>
        <v>-65.868263473053887</v>
      </c>
      <c r="L23" s="59">
        <f>10.9/B23*1000</f>
        <v>32.634730538922156</v>
      </c>
      <c r="M23" s="59">
        <f>11.7/B23*1000</f>
        <v>35.029940119760475</v>
      </c>
      <c r="N23" s="103">
        <v>0.9</v>
      </c>
      <c r="O23" s="59">
        <f>38.6/B23*1000</f>
        <v>115.56886227544911</v>
      </c>
      <c r="P23" s="59">
        <f>3.8/B23*1000</f>
        <v>11.377245508982035</v>
      </c>
      <c r="Q23" s="57">
        <v>24</v>
      </c>
      <c r="R23" s="71">
        <f>-27000/B23</f>
        <v>-80.838323353293418</v>
      </c>
      <c r="S23" s="59">
        <f>10.9/B23*1000</f>
        <v>32.634730538922156</v>
      </c>
      <c r="T23" s="59">
        <f>11.1/B23*1000</f>
        <v>33.23353293413173</v>
      </c>
      <c r="U23" s="57">
        <v>1</v>
      </c>
      <c r="V23" s="60" t="s">
        <v>66</v>
      </c>
      <c r="W23" s="29" t="s">
        <v>62</v>
      </c>
      <c r="X23" s="65"/>
      <c r="Y23" s="72"/>
      <c r="Z23" s="29"/>
      <c r="AA23" s="29"/>
      <c r="AB23" s="29"/>
    </row>
    <row r="24" spans="1:29" ht="25.5" customHeight="1" x14ac:dyDescent="0.2">
      <c r="A24" s="45" t="s">
        <v>19</v>
      </c>
      <c r="B24" s="48">
        <v>1980</v>
      </c>
      <c r="C24" s="64" t="s">
        <v>18</v>
      </c>
      <c r="D24" s="48">
        <v>139</v>
      </c>
      <c r="E24" s="64" t="s">
        <v>11</v>
      </c>
      <c r="F24" s="48">
        <v>47</v>
      </c>
      <c r="G24" s="97">
        <f>211.5/B24*1000</f>
        <v>106.81818181818181</v>
      </c>
      <c r="H24" s="97">
        <f>10.4/B24*1000</f>
        <v>5.2525252525252526</v>
      </c>
      <c r="I24" s="93">
        <f>5604000/B24</f>
        <v>2830.3030303030305</v>
      </c>
      <c r="J24" s="48">
        <v>38</v>
      </c>
      <c r="K24" s="93">
        <f>-279000/B24</f>
        <v>-140.90909090909091</v>
      </c>
      <c r="L24" s="97">
        <f>66.4/B24*1000</f>
        <v>33.535353535353536</v>
      </c>
      <c r="M24" s="97">
        <f>54.5/B24*1000</f>
        <v>27.525252525252526</v>
      </c>
      <c r="N24" s="101">
        <v>1.2</v>
      </c>
      <c r="O24" s="97">
        <f>202.7/B24*1000</f>
        <v>102.37373737373737</v>
      </c>
      <c r="P24" s="97">
        <f>10.4/B24*1000</f>
        <v>5.2525252525252526</v>
      </c>
      <c r="Q24" s="48">
        <v>39</v>
      </c>
      <c r="R24" s="96">
        <f>-355000/B24</f>
        <v>-179.2929292929293</v>
      </c>
      <c r="S24" s="97">
        <f>66.4/B24*1000</f>
        <v>33.535353535353536</v>
      </c>
      <c r="T24" s="97">
        <f>52.5/B24*1000</f>
        <v>26.515151515151516</v>
      </c>
      <c r="U24" s="97">
        <v>1.3</v>
      </c>
      <c r="V24" s="98" t="s">
        <v>14</v>
      </c>
      <c r="W24" s="48" t="s">
        <v>65</v>
      </c>
      <c r="X24" s="51"/>
      <c r="Y24" s="72"/>
      <c r="Z24" s="29"/>
      <c r="AA24" s="29"/>
      <c r="AB24" s="34"/>
    </row>
    <row r="25" spans="1:29" ht="25.5" customHeight="1" x14ac:dyDescent="0.2">
      <c r="A25" s="52" t="s">
        <v>57</v>
      </c>
      <c r="B25" s="29">
        <v>334</v>
      </c>
      <c r="C25" s="44" t="s">
        <v>32</v>
      </c>
      <c r="D25" s="29">
        <v>220</v>
      </c>
      <c r="E25" s="44" t="s">
        <v>60</v>
      </c>
      <c r="F25" s="29">
        <v>92</v>
      </c>
      <c r="G25" s="33">
        <f>46.9/B25*1000</f>
        <v>140.4191616766467</v>
      </c>
      <c r="H25" s="33">
        <f>3.8/B25*1000</f>
        <v>11.377245508982035</v>
      </c>
      <c r="I25" s="31">
        <f>1611000/B25</f>
        <v>4823.3532934131736</v>
      </c>
      <c r="J25" s="29">
        <v>44</v>
      </c>
      <c r="K25" s="36">
        <f>-114000/B25</f>
        <v>-341.31736526946105</v>
      </c>
      <c r="L25" s="33">
        <f>14.7/B25*1000</f>
        <v>44.011976047904191</v>
      </c>
      <c r="M25" s="33">
        <f>13/B25*1000</f>
        <v>38.922155688622759</v>
      </c>
      <c r="N25" s="105">
        <v>1.1000000000000001</v>
      </c>
      <c r="O25" s="33">
        <f>44.9/B25*1000</f>
        <v>134.43113772455089</v>
      </c>
      <c r="P25" s="33">
        <f>3.8/B25*1000</f>
        <v>11.377245508982035</v>
      </c>
      <c r="Q25" s="29">
        <v>44</v>
      </c>
      <c r="R25" s="70">
        <f>-120000/B25</f>
        <v>-359.28143712574848</v>
      </c>
      <c r="S25" s="33">
        <f>14.7/B25*1000</f>
        <v>44.011976047904191</v>
      </c>
      <c r="T25" s="33">
        <f>12.6/B25*1000</f>
        <v>37.724550898203589</v>
      </c>
      <c r="U25" s="33">
        <v>1.2</v>
      </c>
      <c r="V25" s="34" t="s">
        <v>14</v>
      </c>
      <c r="W25" s="29" t="s">
        <v>65</v>
      </c>
      <c r="X25" s="53"/>
      <c r="Y25" s="72"/>
      <c r="Z25" s="29"/>
      <c r="AA25" s="29"/>
      <c r="AB25" s="34"/>
    </row>
    <row r="26" spans="1:29" ht="25.5" customHeight="1" x14ac:dyDescent="0.2">
      <c r="A26" s="45" t="s">
        <v>51</v>
      </c>
      <c r="B26" s="80">
        <v>3300</v>
      </c>
      <c r="C26" s="64" t="s">
        <v>18</v>
      </c>
      <c r="D26" s="48">
        <v>141</v>
      </c>
      <c r="E26" s="64" t="s">
        <v>60</v>
      </c>
      <c r="F26" s="48">
        <v>69</v>
      </c>
      <c r="G26" s="97">
        <f>341.9/B26*1000</f>
        <v>103.60606060606061</v>
      </c>
      <c r="H26" s="97">
        <f>-6.2/B26*1000</f>
        <v>-1.8787878787878789</v>
      </c>
      <c r="I26" s="93">
        <f>5851000/B26</f>
        <v>1773.030303030303</v>
      </c>
      <c r="J26" s="48">
        <v>30</v>
      </c>
      <c r="K26" s="93">
        <f>-1521000/B26</f>
        <v>-460.90909090909093</v>
      </c>
      <c r="L26" s="94">
        <f>55.6/B26*1000</f>
        <v>16.848484848484848</v>
      </c>
      <c r="M26" s="94">
        <f>73.7/B26*1000</f>
        <v>22.333333333333332</v>
      </c>
      <c r="N26" s="101">
        <v>0.8</v>
      </c>
      <c r="O26" s="97">
        <f>319.4/B26*1000</f>
        <v>96.787878787878782</v>
      </c>
      <c r="P26" s="97">
        <f>-6.2/B26*1000</f>
        <v>-1.8787878787878789</v>
      </c>
      <c r="Q26" s="48">
        <v>31</v>
      </c>
      <c r="R26" s="96">
        <f>-1650000/B26</f>
        <v>-500</v>
      </c>
      <c r="S26" s="97">
        <f>55.6/B26*1000</f>
        <v>16.848484848484848</v>
      </c>
      <c r="T26" s="97">
        <f>68.6/B26*1000</f>
        <v>20.787878787878785</v>
      </c>
      <c r="U26" s="97">
        <v>0.8</v>
      </c>
      <c r="V26" s="108" t="s">
        <v>14</v>
      </c>
      <c r="W26" s="48" t="s">
        <v>65</v>
      </c>
      <c r="X26" s="51"/>
      <c r="Y26" s="72"/>
      <c r="Z26" s="29"/>
      <c r="AA26" s="29"/>
      <c r="AB26" s="34"/>
    </row>
    <row r="27" spans="1:29" ht="25.5" customHeight="1" x14ac:dyDescent="0.2">
      <c r="A27" s="55" t="s">
        <v>55</v>
      </c>
      <c r="B27" s="57">
        <v>3300</v>
      </c>
      <c r="C27" s="56" t="s">
        <v>18</v>
      </c>
      <c r="D27" s="66">
        <v>141</v>
      </c>
      <c r="E27" s="56" t="s">
        <v>10</v>
      </c>
      <c r="F27" s="66">
        <v>91</v>
      </c>
      <c r="G27" s="59">
        <f>276.2/B27*1000</f>
        <v>83.696969696969703</v>
      </c>
      <c r="H27" s="69">
        <f>-15.6/B27*1000</f>
        <v>-4.7272727272727275</v>
      </c>
      <c r="I27" s="58">
        <f>4836000/B27</f>
        <v>1465.4545454545455</v>
      </c>
      <c r="J27" s="66">
        <v>34</v>
      </c>
      <c r="K27" s="58">
        <f>-1815000/B27</f>
        <v>-550</v>
      </c>
      <c r="L27" s="67">
        <f>35.8/B27*1000</f>
        <v>10.848484848484848</v>
      </c>
      <c r="M27" s="68">
        <f>53/B27*1000</f>
        <v>16.060606060606059</v>
      </c>
      <c r="N27" s="104">
        <v>0.7</v>
      </c>
      <c r="O27" s="69">
        <f>247.4/B27*1000</f>
        <v>74.969696969696983</v>
      </c>
      <c r="P27" s="59">
        <f>-15.6/B27*1000</f>
        <v>-4.7272727272727275</v>
      </c>
      <c r="Q27" s="58">
        <v>35</v>
      </c>
      <c r="R27" s="71">
        <f>-1869000/B27</f>
        <v>-566.36363636363637</v>
      </c>
      <c r="S27" s="59">
        <f>35.8/B27*1000</f>
        <v>10.848484848484848</v>
      </c>
      <c r="T27" s="59">
        <f>46.5/B27*1000</f>
        <v>14.090909090909092</v>
      </c>
      <c r="U27" s="59">
        <v>0.8</v>
      </c>
      <c r="V27" s="60" t="s">
        <v>61</v>
      </c>
      <c r="W27" s="57" t="s">
        <v>62</v>
      </c>
      <c r="X27" s="65"/>
      <c r="Y27" s="72"/>
      <c r="Z27" s="29"/>
      <c r="AA27" s="29"/>
      <c r="AB27" s="34"/>
    </row>
    <row r="28" spans="1:29" ht="12.75" customHeight="1" x14ac:dyDescent="0.2">
      <c r="A28" s="28"/>
      <c r="B28" s="28"/>
      <c r="C28" s="28"/>
      <c r="D28" s="86"/>
      <c r="E28" s="28"/>
      <c r="F28" s="87"/>
      <c r="G28" s="28"/>
      <c r="H28" s="86"/>
      <c r="I28" s="88"/>
      <c r="J28" s="123"/>
      <c r="K28" s="123"/>
      <c r="L28" s="123"/>
      <c r="M28" s="123"/>
      <c r="N28" s="123"/>
      <c r="O28" s="28"/>
      <c r="P28" s="86"/>
      <c r="Q28" s="123"/>
      <c r="R28" s="123"/>
      <c r="S28" s="123"/>
      <c r="T28" s="123"/>
      <c r="U28" s="123"/>
      <c r="V28" s="28"/>
      <c r="W28" s="28"/>
      <c r="X28" s="28"/>
      <c r="Y28" s="28"/>
      <c r="Z28" s="28"/>
      <c r="AA28" s="28"/>
      <c r="AB28" s="28"/>
      <c r="AC28" s="28"/>
    </row>
    <row r="29" spans="1:29" ht="12.75" customHeight="1" x14ac:dyDescent="0.2">
      <c r="A29" s="28"/>
      <c r="B29" s="28"/>
      <c r="C29" s="28"/>
      <c r="D29" s="86"/>
      <c r="E29" s="28"/>
      <c r="F29" s="86"/>
      <c r="G29" s="28"/>
      <c r="H29" s="86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2.75" customHeight="1" x14ac:dyDescent="0.2">
      <c r="A30" s="28"/>
      <c r="B30" s="28"/>
      <c r="C30" s="86"/>
      <c r="D30" s="28"/>
      <c r="E30" s="86"/>
      <c r="F30" s="28"/>
      <c r="G30" s="28"/>
      <c r="H30" s="28"/>
      <c r="I30" s="36"/>
      <c r="J30" s="28"/>
      <c r="K30" s="36"/>
      <c r="L30" s="41"/>
      <c r="M30" s="41"/>
      <c r="N30" s="28"/>
      <c r="O30" s="28"/>
      <c r="P30" s="28"/>
      <c r="Q30" s="28"/>
      <c r="R30" s="36"/>
      <c r="S30" s="41"/>
      <c r="T30" s="41"/>
      <c r="U30" s="41"/>
      <c r="V30" s="28"/>
      <c r="W30" s="90"/>
      <c r="X30" s="90"/>
      <c r="Y30" s="90"/>
      <c r="Z30" s="90"/>
      <c r="AA30" s="28"/>
      <c r="AB30" s="28"/>
      <c r="AC30" s="28"/>
    </row>
    <row r="31" spans="1:29" ht="25.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25.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x14ac:dyDescent="0.2">
      <c r="A34" s="28"/>
      <c r="B34" s="28"/>
      <c r="C34" s="86"/>
      <c r="D34" s="28"/>
      <c r="E34" s="86"/>
      <c r="F34" s="28"/>
      <c r="G34" s="41"/>
      <c r="H34" s="28"/>
      <c r="I34" s="36"/>
      <c r="J34" s="28"/>
      <c r="K34" s="36"/>
      <c r="L34" s="28"/>
      <c r="M34" s="28"/>
      <c r="N34" s="28"/>
      <c r="O34" s="28"/>
      <c r="P34" s="91"/>
      <c r="Q34" s="36"/>
      <c r="R34" s="36"/>
      <c r="S34" s="28"/>
      <c r="T34" s="28"/>
      <c r="U34" s="41"/>
      <c r="V34" s="90"/>
      <c r="W34" s="90"/>
      <c r="X34" s="90"/>
      <c r="Y34" s="90"/>
      <c r="Z34" s="90"/>
      <c r="AA34" s="28"/>
      <c r="AB34" s="28"/>
      <c r="AC34" s="28"/>
    </row>
    <row r="35" spans="1:29" ht="12.75" customHeight="1" x14ac:dyDescent="0.2">
      <c r="A35" s="28"/>
      <c r="B35" s="28"/>
      <c r="C35" s="86"/>
      <c r="D35" s="86"/>
      <c r="E35" s="87"/>
      <c r="F35" s="87"/>
      <c r="G35" s="28"/>
      <c r="H35" s="28"/>
      <c r="I35" s="87"/>
      <c r="J35" s="92"/>
      <c r="K35" s="88"/>
      <c r="L35" s="28"/>
      <c r="M35" s="28"/>
      <c r="N35" s="28"/>
      <c r="O35" s="28"/>
      <c r="P35" s="28"/>
      <c r="Q35" s="92"/>
      <c r="R35" s="8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x14ac:dyDescent="0.2">
      <c r="A36" s="28"/>
      <c r="B36" s="28"/>
      <c r="C36" s="28"/>
      <c r="D36" s="86"/>
      <c r="E36" s="28"/>
      <c r="F36" s="87"/>
      <c r="G36" s="28"/>
      <c r="H36" s="86"/>
      <c r="I36" s="88"/>
      <c r="J36" s="123"/>
      <c r="K36" s="123"/>
      <c r="L36" s="123"/>
      <c r="M36" s="123"/>
      <c r="N36" s="123"/>
      <c r="O36" s="28"/>
      <c r="P36" s="86"/>
      <c r="Q36" s="123"/>
      <c r="R36" s="123"/>
      <c r="S36" s="123"/>
      <c r="T36" s="123"/>
      <c r="U36" s="123"/>
      <c r="V36" s="28"/>
      <c r="W36" s="28"/>
      <c r="X36" s="28"/>
      <c r="Y36" s="28"/>
      <c r="Z36" s="28"/>
      <c r="AA36" s="28"/>
      <c r="AB36" s="28"/>
      <c r="AC36" s="28"/>
    </row>
    <row r="37" spans="1:29" ht="12.75" customHeight="1" x14ac:dyDescent="0.2">
      <c r="A37" s="28"/>
      <c r="B37" s="28"/>
      <c r="C37" s="28"/>
      <c r="D37" s="86"/>
      <c r="E37" s="28"/>
      <c r="F37" s="86"/>
      <c r="G37" s="28"/>
      <c r="H37" s="86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2.75" customHeight="1" x14ac:dyDescent="0.2">
      <c r="A38" s="28"/>
      <c r="B38" s="28"/>
      <c r="C38" s="86"/>
      <c r="D38" s="28"/>
      <c r="E38" s="86"/>
      <c r="F38" s="28"/>
      <c r="G38" s="41"/>
      <c r="H38" s="28"/>
      <c r="I38" s="36"/>
      <c r="J38" s="28"/>
      <c r="K38" s="36"/>
      <c r="L38" s="41"/>
      <c r="M38" s="41"/>
      <c r="N38" s="41"/>
      <c r="O38" s="41"/>
      <c r="P38" s="28"/>
      <c r="Q38" s="28"/>
      <c r="R38" s="36"/>
      <c r="S38" s="41"/>
      <c r="T38" s="41"/>
      <c r="U38" s="41"/>
      <c r="V38" s="28"/>
      <c r="W38" s="90"/>
      <c r="X38" s="90"/>
      <c r="Y38" s="90"/>
      <c r="Z38" s="90"/>
      <c r="AA38" s="28"/>
      <c r="AB38" s="28"/>
      <c r="AC38" s="28"/>
    </row>
    <row r="39" spans="1:29" ht="25.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25.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25.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25.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12.75" customHeight="1" x14ac:dyDescent="0.2">
      <c r="A50" s="28"/>
      <c r="B50" s="28"/>
      <c r="C50" s="86"/>
      <c r="D50" s="86"/>
      <c r="E50" s="87"/>
      <c r="F50" s="87"/>
      <c r="G50" s="28"/>
      <c r="H50" s="28"/>
      <c r="I50" s="87"/>
      <c r="J50" s="92"/>
      <c r="K50" s="8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1:29" x14ac:dyDescent="0.2">
      <c r="A51" s="28"/>
      <c r="B51" s="28"/>
      <c r="C51" s="28"/>
      <c r="D51" s="86"/>
      <c r="E51" s="28"/>
      <c r="F51" s="87"/>
      <c r="G51" s="28"/>
      <c r="H51" s="86"/>
      <c r="I51" s="88"/>
      <c r="J51" s="123"/>
      <c r="K51" s="123"/>
      <c r="L51" s="123"/>
      <c r="M51" s="123"/>
      <c r="N51" s="123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29" ht="12.75" customHeight="1" x14ac:dyDescent="0.2">
      <c r="A52" s="28"/>
      <c r="B52" s="28"/>
      <c r="C52" s="28"/>
      <c r="D52" s="86"/>
      <c r="E52" s="28"/>
      <c r="F52" s="86"/>
      <c r="G52" s="28"/>
      <c r="H52" s="86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29" ht="12.75" customHeight="1" x14ac:dyDescent="0.2">
      <c r="A53" s="28"/>
      <c r="B53" s="28"/>
      <c r="C53" s="86"/>
      <c r="D53" s="28"/>
      <c r="E53" s="86"/>
      <c r="F53" s="28"/>
      <c r="G53" s="28"/>
      <c r="H53" s="28"/>
      <c r="I53" s="36"/>
      <c r="J53" s="28"/>
      <c r="K53" s="36"/>
      <c r="L53" s="41"/>
      <c r="M53" s="41"/>
      <c r="N53" s="41"/>
      <c r="O53" s="28"/>
      <c r="P53" s="90"/>
      <c r="Q53" s="90"/>
      <c r="R53" s="90"/>
      <c r="S53" s="28"/>
      <c r="T53" s="90"/>
      <c r="U53" s="90"/>
      <c r="V53" s="28"/>
      <c r="W53" s="28"/>
      <c r="X53" s="28"/>
      <c r="Y53" s="28"/>
      <c r="Z53" s="28"/>
      <c r="AA53" s="28"/>
      <c r="AB53" s="28"/>
      <c r="AC53" s="28"/>
    </row>
    <row r="54" spans="1:29" ht="25.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90"/>
      <c r="U54" s="90"/>
      <c r="V54" s="28"/>
      <c r="W54" s="28"/>
      <c r="X54" s="28"/>
      <c r="Y54" s="28"/>
      <c r="Z54" s="28"/>
      <c r="AA54" s="28"/>
      <c r="AB54" s="28"/>
      <c r="AC54" s="28"/>
    </row>
    <row r="55" spans="1:29" ht="12.75" customHeight="1" x14ac:dyDescent="0.2">
      <c r="A55" s="28"/>
      <c r="B55" s="28"/>
      <c r="C55" s="86"/>
      <c r="D55" s="28"/>
      <c r="E55" s="86"/>
      <c r="F55" s="28"/>
      <c r="G55" s="28"/>
      <c r="H55" s="28"/>
      <c r="I55" s="36"/>
      <c r="J55" s="28"/>
      <c r="K55" s="36"/>
      <c r="L55" s="41"/>
      <c r="M55" s="41"/>
      <c r="N55" s="28"/>
      <c r="O55" s="28"/>
      <c r="P55" s="90"/>
      <c r="Q55" s="90"/>
      <c r="R55" s="90"/>
      <c r="S55" s="28"/>
      <c r="T55" s="90"/>
      <c r="U55" s="90"/>
      <c r="V55" s="28"/>
      <c r="W55" s="28"/>
      <c r="X55" s="28"/>
      <c r="Y55" s="28"/>
      <c r="Z55" s="28"/>
      <c r="AA55" s="28"/>
      <c r="AB55" s="28"/>
      <c r="AC55" s="28"/>
    </row>
    <row r="56" spans="1:29" ht="25.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90"/>
      <c r="U56" s="90"/>
      <c r="V56" s="28"/>
      <c r="W56" s="28"/>
      <c r="X56" s="28"/>
      <c r="Y56" s="28"/>
      <c r="Z56" s="28"/>
      <c r="AA56" s="28"/>
      <c r="AB56" s="28"/>
      <c r="AC56" s="28"/>
    </row>
    <row r="57" spans="1:29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ht="12.75" customHeight="1" x14ac:dyDescent="0.2">
      <c r="A58" s="28"/>
      <c r="B58" s="28"/>
      <c r="C58" s="86"/>
      <c r="D58" s="86"/>
      <c r="E58" s="87"/>
      <c r="F58" s="87"/>
      <c r="G58" s="28"/>
      <c r="H58" s="28"/>
      <c r="I58" s="87"/>
      <c r="J58" s="92"/>
      <c r="K58" s="8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x14ac:dyDescent="0.2">
      <c r="A59" s="28"/>
      <c r="B59" s="28"/>
      <c r="C59" s="28"/>
      <c r="D59" s="86"/>
      <c r="E59" s="28"/>
      <c r="F59" s="87"/>
      <c r="G59" s="28"/>
      <c r="H59" s="86"/>
      <c r="I59" s="88"/>
      <c r="J59" s="123"/>
      <c r="K59" s="123"/>
      <c r="L59" s="123"/>
      <c r="M59" s="123"/>
      <c r="N59" s="123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ht="12.75" customHeight="1" x14ac:dyDescent="0.2">
      <c r="A60" s="28"/>
      <c r="B60" s="28"/>
      <c r="C60" s="28"/>
      <c r="D60" s="86"/>
      <c r="E60" s="28"/>
      <c r="F60" s="86"/>
      <c r="G60" s="28"/>
      <c r="H60" s="86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1:29" ht="12.75" customHeight="1" x14ac:dyDescent="0.2">
      <c r="A61" s="28"/>
      <c r="B61" s="28"/>
      <c r="C61" s="86"/>
      <c r="D61" s="28"/>
      <c r="E61" s="86"/>
      <c r="F61" s="28"/>
      <c r="G61" s="28"/>
      <c r="H61" s="28"/>
      <c r="I61" s="36"/>
      <c r="J61" s="28"/>
      <c r="K61" s="36"/>
      <c r="L61" s="91"/>
      <c r="M61" s="91"/>
      <c r="N61" s="28"/>
      <c r="O61" s="28"/>
      <c r="P61" s="90"/>
      <c r="Q61" s="90"/>
      <c r="R61" s="90"/>
      <c r="S61" s="28"/>
      <c r="T61" s="90"/>
      <c r="U61" s="90"/>
      <c r="V61" s="28"/>
      <c r="W61" s="28"/>
      <c r="X61" s="28"/>
      <c r="Y61" s="28"/>
      <c r="Z61" s="28"/>
      <c r="AA61" s="28"/>
      <c r="AB61" s="28"/>
      <c r="AC61" s="28"/>
    </row>
    <row r="62" spans="1:29" ht="25.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ht="12.75" customHeight="1" x14ac:dyDescent="0.2">
      <c r="A63" s="28"/>
      <c r="B63" s="28"/>
      <c r="C63" s="86"/>
      <c r="D63" s="28"/>
      <c r="E63" s="86"/>
      <c r="F63" s="28"/>
      <c r="G63" s="28"/>
      <c r="H63" s="28"/>
      <c r="I63" s="36"/>
      <c r="J63" s="28"/>
      <c r="K63" s="36"/>
      <c r="L63" s="91"/>
      <c r="M63" s="91"/>
      <c r="N63" s="28"/>
      <c r="O63" s="28"/>
      <c r="P63" s="90"/>
      <c r="Q63" s="90"/>
      <c r="R63" s="90"/>
      <c r="S63" s="28"/>
      <c r="T63" s="90"/>
      <c r="U63" s="90"/>
      <c r="V63" s="28"/>
      <c r="W63" s="28"/>
      <c r="X63" s="28"/>
      <c r="Y63" s="28"/>
      <c r="Z63" s="28"/>
      <c r="AA63" s="28"/>
      <c r="AB63" s="28"/>
      <c r="AC63" s="28"/>
    </row>
    <row r="64" spans="1:29" ht="25.5" customHeight="1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x14ac:dyDescent="0.2">
      <c r="A66" s="28"/>
      <c r="B66" s="28"/>
      <c r="C66" s="86"/>
      <c r="D66" s="86"/>
      <c r="E66" s="87"/>
      <c r="F66" s="87"/>
      <c r="G66" s="28"/>
      <c r="H66" s="28"/>
      <c r="I66" s="87"/>
      <c r="J66" s="92"/>
      <c r="K66" s="8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1:29" x14ac:dyDescent="0.2">
      <c r="A67" s="28"/>
      <c r="B67" s="28"/>
      <c r="C67" s="28"/>
      <c r="D67" s="86"/>
      <c r="E67" s="28"/>
      <c r="F67" s="87"/>
      <c r="G67" s="28"/>
      <c r="H67" s="86"/>
      <c r="I67" s="88"/>
      <c r="J67" s="123"/>
      <c r="K67" s="123"/>
      <c r="L67" s="123"/>
      <c r="M67" s="123"/>
      <c r="N67" s="123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1:29" x14ac:dyDescent="0.2">
      <c r="A68" s="28"/>
      <c r="B68" s="28"/>
      <c r="C68" s="28"/>
      <c r="D68" s="86"/>
      <c r="E68" s="28"/>
      <c r="F68" s="86"/>
      <c r="G68" s="28"/>
      <c r="H68" s="86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ht="12.75" customHeight="1" x14ac:dyDescent="0.2">
      <c r="A69" s="28"/>
      <c r="B69" s="28"/>
      <c r="C69" s="86"/>
      <c r="D69" s="28"/>
      <c r="E69" s="86"/>
      <c r="F69" s="28"/>
      <c r="G69" s="28"/>
      <c r="H69" s="28"/>
      <c r="I69" s="36"/>
      <c r="J69" s="28"/>
      <c r="K69" s="36"/>
      <c r="L69" s="91"/>
      <c r="M69" s="91"/>
      <c r="N69" s="28"/>
      <c r="O69" s="28"/>
      <c r="P69" s="90"/>
      <c r="Q69" s="90"/>
      <c r="R69" s="90"/>
      <c r="S69" s="28"/>
      <c r="T69" s="90"/>
      <c r="U69" s="90"/>
      <c r="V69" s="28"/>
      <c r="W69" s="28"/>
      <c r="X69" s="28"/>
      <c r="Y69" s="28"/>
      <c r="Z69" s="28"/>
      <c r="AA69" s="28"/>
      <c r="AB69" s="28"/>
      <c r="AC69" s="28"/>
    </row>
    <row r="70" spans="1:29" ht="25.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1:29" ht="12.75" customHeight="1" x14ac:dyDescent="0.2">
      <c r="A71" s="28"/>
      <c r="B71" s="28"/>
      <c r="C71" s="86"/>
      <c r="D71" s="28"/>
      <c r="E71" s="86"/>
      <c r="F71" s="28"/>
      <c r="G71" s="28"/>
      <c r="H71" s="28"/>
      <c r="I71" s="36"/>
      <c r="J71" s="28"/>
      <c r="K71" s="36"/>
      <c r="L71" s="91"/>
      <c r="M71" s="91"/>
      <c r="N71" s="41"/>
      <c r="O71" s="28"/>
      <c r="P71" s="90"/>
      <c r="Q71" s="90"/>
      <c r="R71" s="90"/>
      <c r="S71" s="28"/>
      <c r="T71" s="90"/>
      <c r="U71" s="90"/>
      <c r="V71" s="28"/>
      <c r="W71" s="28"/>
      <c r="X71" s="28"/>
      <c r="Y71" s="28"/>
      <c r="Z71" s="28"/>
      <c r="AA71" s="28"/>
      <c r="AB71" s="28"/>
      <c r="AC71" s="28"/>
    </row>
    <row r="72" spans="1:29" ht="25.5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1:29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90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1:29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1:29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spans="1:29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1:29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</sheetData>
  <sortState ref="A8:W27">
    <sortCondition descending="1" ref="R8"/>
  </sortState>
  <mergeCells count="13">
    <mergeCell ref="J28:N28"/>
    <mergeCell ref="Q28:U28"/>
    <mergeCell ref="J67:N67"/>
    <mergeCell ref="J51:N51"/>
    <mergeCell ref="J59:N59"/>
    <mergeCell ref="J36:N36"/>
    <mergeCell ref="Q36:U36"/>
    <mergeCell ref="C3:D3"/>
    <mergeCell ref="E3:F3"/>
    <mergeCell ref="J4:N4"/>
    <mergeCell ref="Q4:U4"/>
    <mergeCell ref="L6:M6"/>
    <mergeCell ref="S6:T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AB72"/>
  <sheetViews>
    <sheetView topLeftCell="A21" zoomScale="80" zoomScaleNormal="80" workbookViewId="0">
      <pane xSplit="1" topLeftCell="B1" activePane="topRight" state="frozen"/>
      <selection pane="topRight" activeCell="Y61" sqref="Y61"/>
    </sheetView>
  </sheetViews>
  <sheetFormatPr defaultRowHeight="12.6" x14ac:dyDescent="0.2"/>
  <cols>
    <col min="1" max="1" width="34.26953125" customWidth="1"/>
    <col min="2" max="2" width="4.26953125" customWidth="1"/>
    <col min="4" max="4" width="4.453125" customWidth="1"/>
    <col min="6" max="6" width="10.90625" customWidth="1"/>
    <col min="7" max="7" width="8.26953125" customWidth="1"/>
    <col min="8" max="8" width="11.6328125" customWidth="1"/>
    <col min="9" max="9" width="4.453125" bestFit="1" customWidth="1"/>
    <col min="10" max="10" width="12.36328125" customWidth="1"/>
    <col min="11" max="11" width="15" bestFit="1" customWidth="1"/>
    <col min="12" max="12" width="9.453125" bestFit="1" customWidth="1"/>
    <col min="13" max="13" width="9.36328125" bestFit="1" customWidth="1"/>
    <col min="14" max="14" width="10.36328125" customWidth="1"/>
    <col min="15" max="15" width="8.453125" customWidth="1"/>
    <col min="16" max="16" width="4.453125" bestFit="1" customWidth="1"/>
    <col min="17" max="17" width="11.90625" customWidth="1"/>
    <col min="18" max="18" width="14.36328125" customWidth="1"/>
    <col min="19" max="19" width="10.08984375" customWidth="1"/>
    <col min="20" max="20" width="9.36328125" customWidth="1"/>
    <col min="25" max="25" width="11" customWidth="1"/>
  </cols>
  <sheetData>
    <row r="1" spans="1:28" x14ac:dyDescent="0.2">
      <c r="A1" t="s">
        <v>0</v>
      </c>
      <c r="C1" t="s">
        <v>15</v>
      </c>
      <c r="J1" t="s">
        <v>16</v>
      </c>
      <c r="Q1" t="s">
        <v>17</v>
      </c>
    </row>
    <row r="3" spans="1:28" x14ac:dyDescent="0.2">
      <c r="A3" s="45" t="s">
        <v>1</v>
      </c>
      <c r="B3" s="124" t="s">
        <v>2</v>
      </c>
      <c r="C3" s="124"/>
      <c r="D3" s="125" t="s">
        <v>4</v>
      </c>
      <c r="E3" s="125"/>
      <c r="F3" s="48" t="s">
        <v>7</v>
      </c>
      <c r="G3" s="48"/>
      <c r="H3" s="47" t="s">
        <v>8</v>
      </c>
      <c r="I3" s="49" t="s">
        <v>77</v>
      </c>
      <c r="J3" s="50" t="s">
        <v>78</v>
      </c>
      <c r="K3" s="48" t="s">
        <v>74</v>
      </c>
      <c r="L3" s="48" t="s">
        <v>75</v>
      </c>
      <c r="M3" s="48" t="s">
        <v>76</v>
      </c>
      <c r="N3" s="48" t="s">
        <v>22</v>
      </c>
      <c r="O3" s="48"/>
      <c r="P3" s="49" t="s">
        <v>77</v>
      </c>
      <c r="Q3" s="50" t="s">
        <v>78</v>
      </c>
      <c r="R3" s="48" t="s">
        <v>74</v>
      </c>
      <c r="S3" s="48" t="s">
        <v>75</v>
      </c>
      <c r="T3" s="48" t="s">
        <v>76</v>
      </c>
      <c r="U3" s="48" t="s">
        <v>12</v>
      </c>
      <c r="V3" s="48"/>
      <c r="W3" s="48"/>
      <c r="X3" s="48"/>
      <c r="Y3" s="48"/>
      <c r="Z3" s="48"/>
      <c r="AA3" s="48"/>
      <c r="AB3" s="51"/>
    </row>
    <row r="4" spans="1:28" x14ac:dyDescent="0.2">
      <c r="A4" s="52"/>
      <c r="B4" s="29"/>
      <c r="C4" s="30" t="s">
        <v>3</v>
      </c>
      <c r="D4" s="29"/>
      <c r="E4" s="42" t="s">
        <v>3</v>
      </c>
      <c r="F4" s="29" t="s">
        <v>5</v>
      </c>
      <c r="G4" s="30" t="s">
        <v>6</v>
      </c>
      <c r="H4" s="43" t="s">
        <v>9</v>
      </c>
      <c r="I4" s="126">
        <v>22</v>
      </c>
      <c r="J4" s="126"/>
      <c r="K4" s="126"/>
      <c r="L4" s="126"/>
      <c r="M4" s="126"/>
      <c r="N4" s="29" t="s">
        <v>5</v>
      </c>
      <c r="O4" s="30" t="s">
        <v>6</v>
      </c>
      <c r="P4" s="126">
        <v>23</v>
      </c>
      <c r="Q4" s="126"/>
      <c r="R4" s="126"/>
      <c r="S4" s="126"/>
      <c r="T4" s="126"/>
      <c r="U4" s="29"/>
      <c r="V4" s="29"/>
      <c r="W4" s="29"/>
      <c r="X4" s="29"/>
      <c r="Y4" s="29"/>
      <c r="Z4" s="29"/>
      <c r="AA4" s="29"/>
      <c r="AB4" s="53"/>
    </row>
    <row r="5" spans="1:28" ht="12.75" hidden="1" x14ac:dyDescent="0.2">
      <c r="A5" s="52"/>
      <c r="B5" s="29"/>
      <c r="C5" s="30"/>
      <c r="D5" s="29"/>
      <c r="E5" s="30"/>
      <c r="F5" s="29"/>
      <c r="G5" s="30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53"/>
    </row>
    <row r="6" spans="1:28" ht="12.75" hidden="1" customHeight="1" x14ac:dyDescent="0.2">
      <c r="A6" s="52"/>
      <c r="B6" s="30"/>
      <c r="C6" s="29"/>
      <c r="D6" s="30"/>
      <c r="E6" s="29"/>
      <c r="F6" s="29"/>
      <c r="G6" s="29"/>
      <c r="H6" s="31"/>
      <c r="I6" s="29"/>
      <c r="J6" s="31"/>
      <c r="K6" s="33"/>
      <c r="L6" s="33"/>
      <c r="M6" s="29"/>
      <c r="N6" s="29"/>
      <c r="O6" s="29"/>
      <c r="P6" s="29"/>
      <c r="Q6" s="31"/>
      <c r="R6" s="33"/>
      <c r="S6" s="33"/>
      <c r="T6" s="33"/>
      <c r="U6" s="29"/>
      <c r="V6" s="72"/>
      <c r="W6" s="72"/>
      <c r="X6" s="72"/>
      <c r="Y6" s="72"/>
      <c r="Z6" s="29"/>
      <c r="AA6" s="29"/>
      <c r="AB6" s="53"/>
    </row>
    <row r="7" spans="1:28" ht="25.5" customHeight="1" x14ac:dyDescent="0.2">
      <c r="A7" s="52" t="s">
        <v>20</v>
      </c>
      <c r="B7" s="30" t="s">
        <v>18</v>
      </c>
      <c r="C7" s="29">
        <v>139</v>
      </c>
      <c r="D7" s="30" t="s">
        <v>10</v>
      </c>
      <c r="E7" s="29">
        <v>94</v>
      </c>
      <c r="F7" s="29">
        <v>91.6</v>
      </c>
      <c r="G7" s="29">
        <v>9.3000000000000007</v>
      </c>
      <c r="H7" s="31">
        <v>1989000</v>
      </c>
      <c r="I7" s="29">
        <v>27</v>
      </c>
      <c r="J7" s="31">
        <v>445000</v>
      </c>
      <c r="K7" s="33">
        <v>47.3</v>
      </c>
      <c r="L7" s="33">
        <v>26.6</v>
      </c>
      <c r="M7" s="29">
        <v>1.8</v>
      </c>
      <c r="N7" s="29">
        <v>69.400000000000006</v>
      </c>
      <c r="O7" s="32">
        <v>9.3000000000000007</v>
      </c>
      <c r="P7" s="31">
        <v>28</v>
      </c>
      <c r="Q7" s="70">
        <v>408000</v>
      </c>
      <c r="R7" s="33">
        <v>47.3</v>
      </c>
      <c r="S7" s="33">
        <v>21.6</v>
      </c>
      <c r="T7" s="33">
        <v>2.2000000000000002</v>
      </c>
      <c r="U7" s="128" t="s">
        <v>13</v>
      </c>
      <c r="V7" s="128"/>
      <c r="W7" s="128"/>
      <c r="X7" s="128"/>
      <c r="Y7" s="128"/>
      <c r="Z7" s="29" t="s">
        <v>64</v>
      </c>
      <c r="AA7" s="29"/>
      <c r="AB7" s="53"/>
    </row>
    <row r="8" spans="1:28" ht="12.75" hidden="1" customHeight="1" x14ac:dyDescent="0.2">
      <c r="A8" s="52"/>
      <c r="B8" s="30"/>
      <c r="C8" s="29"/>
      <c r="D8" s="30"/>
      <c r="E8" s="29"/>
      <c r="F8" s="29"/>
      <c r="G8" s="29"/>
      <c r="H8" s="31"/>
      <c r="I8" s="29"/>
      <c r="J8" s="31"/>
      <c r="K8" s="33"/>
      <c r="L8" s="33"/>
      <c r="M8" s="29"/>
      <c r="N8" s="29"/>
      <c r="O8" s="32"/>
      <c r="P8" s="31"/>
      <c r="Q8" s="70"/>
      <c r="R8" s="33"/>
      <c r="S8" s="33"/>
      <c r="T8" s="33"/>
      <c r="U8" s="29"/>
      <c r="V8" s="72"/>
      <c r="W8" s="72"/>
      <c r="X8" s="72"/>
      <c r="Y8" s="72"/>
      <c r="Z8" s="29"/>
      <c r="AA8" s="29"/>
      <c r="AB8" s="53"/>
    </row>
    <row r="9" spans="1:28" ht="25.5" customHeight="1" x14ac:dyDescent="0.2">
      <c r="A9" s="52" t="s">
        <v>21</v>
      </c>
      <c r="B9" s="30" t="s">
        <v>18</v>
      </c>
      <c r="C9" s="29">
        <v>139</v>
      </c>
      <c r="D9" s="30" t="s">
        <v>10</v>
      </c>
      <c r="E9" s="29">
        <v>83</v>
      </c>
      <c r="F9" s="33">
        <v>124.5</v>
      </c>
      <c r="G9" s="29">
        <v>10.4</v>
      </c>
      <c r="H9" s="31">
        <v>2661000</v>
      </c>
      <c r="I9" s="29">
        <v>27</v>
      </c>
      <c r="J9" s="31">
        <v>78000</v>
      </c>
      <c r="K9" s="33">
        <v>39</v>
      </c>
      <c r="L9" s="33">
        <v>34.700000000000003</v>
      </c>
      <c r="M9" s="29">
        <v>1.1000000000000001</v>
      </c>
      <c r="N9" s="29">
        <v>105.2</v>
      </c>
      <c r="O9" s="32">
        <v>10.4</v>
      </c>
      <c r="P9" s="31">
        <v>27</v>
      </c>
      <c r="Q9" s="70">
        <v>56000</v>
      </c>
      <c r="R9" s="33">
        <v>39</v>
      </c>
      <c r="S9" s="33">
        <v>30.4</v>
      </c>
      <c r="T9" s="33">
        <v>1.3</v>
      </c>
      <c r="U9" s="128" t="s">
        <v>26</v>
      </c>
      <c r="V9" s="128"/>
      <c r="W9" s="128"/>
      <c r="X9" s="128"/>
      <c r="Y9" s="128"/>
      <c r="Z9" s="29" t="s">
        <v>63</v>
      </c>
      <c r="AA9" s="29"/>
      <c r="AB9" s="53"/>
    </row>
    <row r="10" spans="1:28" ht="12.75" hidden="1" customHeight="1" x14ac:dyDescent="0.2">
      <c r="A10" s="52"/>
      <c r="B10" s="30"/>
      <c r="C10" s="29"/>
      <c r="D10" s="30"/>
      <c r="E10" s="29"/>
      <c r="F10" s="33"/>
      <c r="G10" s="29"/>
      <c r="H10" s="31"/>
      <c r="I10" s="29"/>
      <c r="J10" s="31"/>
      <c r="K10" s="33"/>
      <c r="L10" s="33"/>
      <c r="M10" s="29"/>
      <c r="N10" s="29"/>
      <c r="O10" s="32"/>
      <c r="P10" s="31"/>
      <c r="Q10" s="70"/>
      <c r="R10" s="33"/>
      <c r="S10" s="33"/>
      <c r="T10" s="33"/>
      <c r="U10" s="29"/>
      <c r="V10" s="72"/>
      <c r="W10" s="72"/>
      <c r="X10" s="72"/>
      <c r="Y10" s="72"/>
      <c r="Z10" s="29"/>
      <c r="AA10" s="29"/>
      <c r="AB10" s="53"/>
    </row>
    <row r="11" spans="1:28" ht="25.5" customHeight="1" x14ac:dyDescent="0.2">
      <c r="A11" s="55" t="s">
        <v>19</v>
      </c>
      <c r="B11" s="56" t="s">
        <v>18</v>
      </c>
      <c r="C11" s="57">
        <v>139</v>
      </c>
      <c r="D11" s="56" t="s">
        <v>11</v>
      </c>
      <c r="E11" s="57">
        <v>47</v>
      </c>
      <c r="F11" s="57">
        <v>230.8</v>
      </c>
      <c r="G11" s="57">
        <v>10.4</v>
      </c>
      <c r="H11" s="58">
        <v>5604000</v>
      </c>
      <c r="I11" s="57">
        <v>36</v>
      </c>
      <c r="J11" s="58">
        <v>-125000</v>
      </c>
      <c r="K11" s="59">
        <v>66.400000000000006</v>
      </c>
      <c r="L11" s="59">
        <v>58.9</v>
      </c>
      <c r="M11" s="57">
        <v>1.1000000000000001</v>
      </c>
      <c r="N11" s="57">
        <v>221.4</v>
      </c>
      <c r="O11" s="57">
        <v>10.4</v>
      </c>
      <c r="P11" s="57">
        <v>37</v>
      </c>
      <c r="Q11" s="71">
        <v>-201000</v>
      </c>
      <c r="R11" s="59">
        <v>66.400000000000006</v>
      </c>
      <c r="S11" s="59">
        <v>56.7</v>
      </c>
      <c r="T11" s="59">
        <v>1.2</v>
      </c>
      <c r="U11" s="127" t="s">
        <v>14</v>
      </c>
      <c r="V11" s="127"/>
      <c r="W11" s="127"/>
      <c r="X11" s="127"/>
      <c r="Y11" s="127"/>
      <c r="Z11" s="57" t="s">
        <v>62</v>
      </c>
      <c r="AA11" s="57"/>
      <c r="AB11" s="65"/>
    </row>
    <row r="12" spans="1:28" ht="12.75" x14ac:dyDescent="0.2">
      <c r="A12" s="29"/>
      <c r="B12" s="30"/>
      <c r="C12" s="29"/>
      <c r="D12" s="30"/>
      <c r="E12" s="29"/>
      <c r="F12" s="29"/>
      <c r="G12" s="29"/>
      <c r="H12" s="31"/>
      <c r="I12" s="29"/>
      <c r="J12" s="31"/>
      <c r="K12" s="29"/>
      <c r="L12" s="29"/>
      <c r="M12" s="29"/>
      <c r="N12" s="31"/>
      <c r="O12" s="31"/>
      <c r="P12" s="29"/>
      <c r="Q12" s="31"/>
      <c r="R12" s="29"/>
      <c r="S12" s="29"/>
      <c r="T12" s="33"/>
      <c r="U12" s="29"/>
      <c r="V12" s="29"/>
      <c r="W12" s="29"/>
      <c r="X12" s="29"/>
      <c r="Y12" s="29"/>
    </row>
    <row r="13" spans="1:28" x14ac:dyDescent="0.2">
      <c r="A13" s="45" t="s">
        <v>1</v>
      </c>
      <c r="B13" s="124" t="s">
        <v>2</v>
      </c>
      <c r="C13" s="124"/>
      <c r="D13" s="125" t="s">
        <v>4</v>
      </c>
      <c r="E13" s="125"/>
      <c r="F13" s="48" t="s">
        <v>31</v>
      </c>
      <c r="G13" s="48"/>
      <c r="H13" s="47" t="s">
        <v>8</v>
      </c>
      <c r="I13" s="49" t="s">
        <v>77</v>
      </c>
      <c r="J13" s="50" t="s">
        <v>78</v>
      </c>
      <c r="K13" s="48" t="s">
        <v>74</v>
      </c>
      <c r="L13" s="48" t="s">
        <v>75</v>
      </c>
      <c r="M13" s="48" t="s">
        <v>76</v>
      </c>
      <c r="N13" s="48" t="s">
        <v>7</v>
      </c>
      <c r="O13" s="48"/>
      <c r="P13" s="49" t="s">
        <v>77</v>
      </c>
      <c r="Q13" s="50" t="s">
        <v>78</v>
      </c>
      <c r="R13" s="48" t="s">
        <v>74</v>
      </c>
      <c r="S13" s="48" t="s">
        <v>75</v>
      </c>
      <c r="T13" s="48" t="s">
        <v>76</v>
      </c>
      <c r="U13" s="48" t="s">
        <v>12</v>
      </c>
      <c r="V13" s="48"/>
      <c r="W13" s="48"/>
      <c r="X13" s="48"/>
      <c r="Y13" s="48"/>
      <c r="Z13" s="48"/>
      <c r="AA13" s="48"/>
      <c r="AB13" s="51"/>
    </row>
    <row r="14" spans="1:28" x14ac:dyDescent="0.2">
      <c r="A14" s="52"/>
      <c r="B14" s="29"/>
      <c r="C14" s="30" t="s">
        <v>3</v>
      </c>
      <c r="D14" s="29"/>
      <c r="E14" s="42" t="s">
        <v>3</v>
      </c>
      <c r="F14" s="29" t="s">
        <v>5</v>
      </c>
      <c r="G14" s="30" t="s">
        <v>6</v>
      </c>
      <c r="H14" s="43" t="s">
        <v>9</v>
      </c>
      <c r="I14" s="126">
        <v>21</v>
      </c>
      <c r="J14" s="126"/>
      <c r="K14" s="126"/>
      <c r="L14" s="126"/>
      <c r="M14" s="126"/>
      <c r="N14" s="29" t="s">
        <v>5</v>
      </c>
      <c r="O14" s="30" t="s">
        <v>6</v>
      </c>
      <c r="P14" s="126">
        <v>22</v>
      </c>
      <c r="Q14" s="126"/>
      <c r="R14" s="126"/>
      <c r="S14" s="126"/>
      <c r="T14" s="126"/>
      <c r="U14" s="29"/>
      <c r="V14" s="29"/>
      <c r="W14" s="29"/>
      <c r="X14" s="29"/>
      <c r="Y14" s="29"/>
      <c r="Z14" s="29"/>
      <c r="AA14" s="29"/>
      <c r="AB14" s="53"/>
    </row>
    <row r="15" spans="1:28" ht="12.75" hidden="1" x14ac:dyDescent="0.2">
      <c r="A15" s="52"/>
      <c r="B15" s="29"/>
      <c r="C15" s="30"/>
      <c r="D15" s="29"/>
      <c r="E15" s="30"/>
      <c r="F15" s="29"/>
      <c r="G15" s="30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53"/>
    </row>
    <row r="16" spans="1:28" ht="12.75" hidden="1" customHeight="1" x14ac:dyDescent="0.2">
      <c r="A16" s="52"/>
      <c r="B16" s="30"/>
      <c r="C16" s="29"/>
      <c r="D16" s="30"/>
      <c r="E16" s="29"/>
      <c r="F16" s="29"/>
      <c r="G16" s="29"/>
      <c r="H16" s="31"/>
      <c r="I16" s="29"/>
      <c r="J16" s="31"/>
      <c r="K16" s="63"/>
      <c r="L16" s="63"/>
      <c r="M16" s="29"/>
      <c r="N16" s="29"/>
      <c r="O16" s="29"/>
      <c r="P16" s="29"/>
      <c r="Q16" s="31"/>
      <c r="R16" s="33"/>
      <c r="S16" s="33"/>
      <c r="T16" s="33"/>
      <c r="U16" s="29"/>
      <c r="V16" s="72"/>
      <c r="W16" s="72"/>
      <c r="X16" s="72"/>
      <c r="Y16" s="72"/>
      <c r="Z16" s="29"/>
      <c r="AA16" s="29"/>
      <c r="AB16" s="53"/>
    </row>
    <row r="17" spans="1:28" ht="25.5" customHeight="1" x14ac:dyDescent="0.2">
      <c r="A17" s="52" t="s">
        <v>53</v>
      </c>
      <c r="B17" s="30" t="s">
        <v>18</v>
      </c>
      <c r="C17" s="29">
        <v>141</v>
      </c>
      <c r="D17" s="30" t="s">
        <v>10</v>
      </c>
      <c r="E17" s="29">
        <v>93</v>
      </c>
      <c r="F17" s="29">
        <v>214.5</v>
      </c>
      <c r="G17" s="29">
        <v>9.3000000000000007</v>
      </c>
      <c r="H17" s="31">
        <v>1602000</v>
      </c>
      <c r="I17" s="29">
        <v>13</v>
      </c>
      <c r="J17" s="31">
        <v>1402000</v>
      </c>
      <c r="K17" s="63">
        <v>37.1</v>
      </c>
      <c r="L17" s="63">
        <v>54.5</v>
      </c>
      <c r="M17" s="29">
        <v>0.7</v>
      </c>
      <c r="N17" s="29">
        <v>180.1</v>
      </c>
      <c r="O17" s="32">
        <v>9.3000000000000007</v>
      </c>
      <c r="P17" s="31">
        <v>14</v>
      </c>
      <c r="Q17" s="70">
        <v>1304000</v>
      </c>
      <c r="R17" s="33">
        <v>37.1</v>
      </c>
      <c r="S17" s="33">
        <v>46.7</v>
      </c>
      <c r="T17" s="33">
        <v>0.8</v>
      </c>
      <c r="U17" s="128" t="s">
        <v>13</v>
      </c>
      <c r="V17" s="128"/>
      <c r="W17" s="128"/>
      <c r="X17" s="128"/>
      <c r="Y17" s="128"/>
      <c r="Z17" s="29" t="s">
        <v>64</v>
      </c>
      <c r="AA17" s="29"/>
      <c r="AB17" s="53"/>
    </row>
    <row r="18" spans="1:28" ht="12.75" hidden="1" customHeight="1" x14ac:dyDescent="0.2">
      <c r="A18" s="52"/>
      <c r="B18" s="30"/>
      <c r="C18" s="29"/>
      <c r="D18" s="30"/>
      <c r="E18" s="29"/>
      <c r="F18" s="29"/>
      <c r="G18" s="29"/>
      <c r="H18" s="31"/>
      <c r="I18" s="29"/>
      <c r="J18" s="31"/>
      <c r="K18" s="63"/>
      <c r="L18" s="63"/>
      <c r="M18" s="29"/>
      <c r="N18" s="29"/>
      <c r="O18" s="32"/>
      <c r="P18" s="31"/>
      <c r="Q18" s="70"/>
      <c r="R18" s="33"/>
      <c r="S18" s="33"/>
      <c r="T18" s="33"/>
      <c r="U18" s="29"/>
      <c r="V18" s="72"/>
      <c r="W18" s="72"/>
      <c r="X18" s="72"/>
      <c r="Y18" s="72"/>
      <c r="Z18" s="29"/>
      <c r="AA18" s="29"/>
      <c r="AB18" s="53"/>
    </row>
    <row r="19" spans="1:28" ht="25.5" customHeight="1" x14ac:dyDescent="0.2">
      <c r="A19" s="52" t="s">
        <v>51</v>
      </c>
      <c r="B19" s="30" t="s">
        <v>18</v>
      </c>
      <c r="C19" s="29">
        <v>141</v>
      </c>
      <c r="D19" s="30" t="s">
        <v>60</v>
      </c>
      <c r="E19" s="29">
        <v>69</v>
      </c>
      <c r="F19" s="29">
        <v>341.9</v>
      </c>
      <c r="G19" s="29">
        <v>-6.2</v>
      </c>
      <c r="H19" s="31">
        <v>5851000</v>
      </c>
      <c r="I19" s="29">
        <v>30</v>
      </c>
      <c r="J19" s="31">
        <v>-1521000</v>
      </c>
      <c r="K19" s="63">
        <v>55.6</v>
      </c>
      <c r="L19" s="63">
        <v>73.7</v>
      </c>
      <c r="M19" s="29">
        <v>0.8</v>
      </c>
      <c r="N19" s="29">
        <v>319.39999999999998</v>
      </c>
      <c r="O19" s="29">
        <v>-6.2</v>
      </c>
      <c r="P19" s="29">
        <v>31</v>
      </c>
      <c r="Q19" s="70">
        <v>-1650000</v>
      </c>
      <c r="R19" s="33">
        <v>55.6</v>
      </c>
      <c r="S19" s="33">
        <v>68.599999999999994</v>
      </c>
      <c r="T19" s="33">
        <v>0.8</v>
      </c>
      <c r="U19" s="128" t="s">
        <v>14</v>
      </c>
      <c r="V19" s="128"/>
      <c r="W19" s="128"/>
      <c r="X19" s="128"/>
      <c r="Y19" s="128"/>
      <c r="Z19" s="29" t="s">
        <v>63</v>
      </c>
      <c r="AA19" s="29"/>
      <c r="AB19" s="53"/>
    </row>
    <row r="20" spans="1:28" ht="12.75" hidden="1" customHeight="1" x14ac:dyDescent="0.2">
      <c r="A20" s="52"/>
      <c r="B20" s="30"/>
      <c r="C20" s="28"/>
      <c r="D20" s="30"/>
      <c r="E20" s="28"/>
      <c r="F20" s="33"/>
      <c r="G20" s="28"/>
      <c r="H20" s="31"/>
      <c r="I20" s="28"/>
      <c r="J20" s="31"/>
      <c r="K20" s="63"/>
      <c r="L20" s="40"/>
      <c r="M20" s="28"/>
      <c r="N20" s="28"/>
      <c r="O20" s="32"/>
      <c r="P20" s="31"/>
      <c r="Q20" s="70"/>
      <c r="R20" s="33"/>
      <c r="S20" s="33"/>
      <c r="T20" s="33"/>
      <c r="U20" s="29"/>
      <c r="V20" s="72"/>
      <c r="W20" s="72"/>
      <c r="X20" s="72"/>
      <c r="Y20" s="72"/>
      <c r="Z20" s="29"/>
      <c r="AA20" s="29"/>
      <c r="AB20" s="53"/>
    </row>
    <row r="21" spans="1:28" ht="25.5" customHeight="1" x14ac:dyDescent="0.2">
      <c r="A21" s="55" t="s">
        <v>55</v>
      </c>
      <c r="B21" s="56" t="s">
        <v>18</v>
      </c>
      <c r="C21" s="66">
        <v>141</v>
      </c>
      <c r="D21" s="56" t="s">
        <v>10</v>
      </c>
      <c r="E21" s="66">
        <v>91</v>
      </c>
      <c r="F21" s="59">
        <v>276.2</v>
      </c>
      <c r="G21" s="66">
        <v>-15.6</v>
      </c>
      <c r="H21" s="58">
        <v>4836000</v>
      </c>
      <c r="I21" s="66">
        <v>34</v>
      </c>
      <c r="J21" s="58">
        <v>-1815000</v>
      </c>
      <c r="K21" s="67">
        <v>35.799999999999997</v>
      </c>
      <c r="L21" s="68">
        <v>53</v>
      </c>
      <c r="M21" s="66">
        <v>0.7</v>
      </c>
      <c r="N21" s="66">
        <v>247.4</v>
      </c>
      <c r="O21" s="62">
        <v>-15.6</v>
      </c>
      <c r="P21" s="58">
        <v>35</v>
      </c>
      <c r="Q21" s="71">
        <v>-1869000</v>
      </c>
      <c r="R21" s="59">
        <v>35.799999999999997</v>
      </c>
      <c r="S21" s="59">
        <v>46.5</v>
      </c>
      <c r="T21" s="59">
        <v>0.8</v>
      </c>
      <c r="U21" s="127" t="s">
        <v>61</v>
      </c>
      <c r="V21" s="127"/>
      <c r="W21" s="127"/>
      <c r="X21" s="127"/>
      <c r="Y21" s="127"/>
      <c r="Z21" s="57" t="s">
        <v>62</v>
      </c>
      <c r="AA21" s="57"/>
      <c r="AB21" s="65"/>
    </row>
    <row r="23" spans="1:28" ht="13.5" thickBot="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5" spans="1:28" ht="12.75" customHeight="1" x14ac:dyDescent="0.2"/>
    <row r="26" spans="1:28" ht="12.75" customHeight="1" x14ac:dyDescent="0.2">
      <c r="A26" s="45" t="s">
        <v>1</v>
      </c>
      <c r="B26" s="124" t="s">
        <v>2</v>
      </c>
      <c r="C26" s="124"/>
      <c r="D26" s="125" t="s">
        <v>4</v>
      </c>
      <c r="E26" s="125"/>
      <c r="F26" s="48" t="s">
        <v>31</v>
      </c>
      <c r="G26" s="48"/>
      <c r="H26" s="47" t="s">
        <v>8</v>
      </c>
      <c r="I26" s="49" t="s">
        <v>77</v>
      </c>
      <c r="J26" s="50" t="s">
        <v>78</v>
      </c>
      <c r="K26" s="48" t="s">
        <v>74</v>
      </c>
      <c r="L26" s="48" t="s">
        <v>75</v>
      </c>
      <c r="M26" s="48" t="s">
        <v>76</v>
      </c>
      <c r="N26" s="48" t="s">
        <v>7</v>
      </c>
      <c r="O26" s="48"/>
      <c r="P26" s="49" t="s">
        <v>77</v>
      </c>
      <c r="Q26" s="50" t="s">
        <v>78</v>
      </c>
      <c r="R26" s="48" t="s">
        <v>74</v>
      </c>
      <c r="S26" s="48" t="s">
        <v>75</v>
      </c>
      <c r="T26" s="48" t="s">
        <v>76</v>
      </c>
      <c r="U26" s="48" t="s">
        <v>12</v>
      </c>
      <c r="V26" s="48"/>
      <c r="W26" s="48"/>
      <c r="X26" s="48"/>
      <c r="Y26" s="48"/>
      <c r="Z26" s="48"/>
      <c r="AA26" s="48"/>
      <c r="AB26" s="51"/>
    </row>
    <row r="27" spans="1:28" ht="12.75" customHeight="1" x14ac:dyDescent="0.2">
      <c r="A27" s="52"/>
      <c r="B27" s="29"/>
      <c r="C27" s="30" t="s">
        <v>3</v>
      </c>
      <c r="D27" s="29"/>
      <c r="E27" s="42" t="s">
        <v>3</v>
      </c>
      <c r="F27" s="29" t="s">
        <v>5</v>
      </c>
      <c r="G27" s="30" t="s">
        <v>6</v>
      </c>
      <c r="H27" s="43" t="s">
        <v>9</v>
      </c>
      <c r="I27" s="126">
        <v>21</v>
      </c>
      <c r="J27" s="126"/>
      <c r="K27" s="126"/>
      <c r="L27" s="126"/>
      <c r="M27" s="126"/>
      <c r="N27" s="29" t="s">
        <v>5</v>
      </c>
      <c r="O27" s="30" t="s">
        <v>6</v>
      </c>
      <c r="P27" s="126">
        <v>22</v>
      </c>
      <c r="Q27" s="126"/>
      <c r="R27" s="126"/>
      <c r="S27" s="126"/>
      <c r="T27" s="126"/>
      <c r="U27" s="29"/>
      <c r="V27" s="29"/>
      <c r="W27" s="29"/>
      <c r="X27" s="29"/>
      <c r="Y27" s="29"/>
      <c r="Z27" s="29"/>
      <c r="AA27" s="29"/>
      <c r="AB27" s="53"/>
    </row>
    <row r="28" spans="1:28" ht="12.75" hidden="1" customHeight="1" x14ac:dyDescent="0.2">
      <c r="A28" s="52"/>
      <c r="B28" s="29"/>
      <c r="C28" s="30"/>
      <c r="D28" s="29"/>
      <c r="E28" s="30"/>
      <c r="F28" s="29"/>
      <c r="G28" s="30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53"/>
    </row>
    <row r="29" spans="1:28" ht="12.75" hidden="1" customHeight="1" x14ac:dyDescent="0.2">
      <c r="A29" s="52"/>
      <c r="B29" s="30"/>
      <c r="C29" s="29"/>
      <c r="D29" s="30"/>
      <c r="E29" s="29"/>
      <c r="F29" s="29"/>
      <c r="G29" s="29"/>
      <c r="H29" s="31"/>
      <c r="I29" s="29"/>
      <c r="J29" s="31"/>
      <c r="K29" s="33"/>
      <c r="L29" s="33"/>
      <c r="M29" s="29"/>
      <c r="N29" s="29"/>
      <c r="O29" s="29"/>
      <c r="P29" s="29"/>
      <c r="Q29" s="31"/>
      <c r="R29" s="33"/>
      <c r="S29" s="33"/>
      <c r="T29" s="33"/>
      <c r="U29" s="29"/>
      <c r="V29" s="34"/>
      <c r="W29" s="34"/>
      <c r="X29" s="34"/>
      <c r="Y29" s="34"/>
      <c r="Z29" s="29"/>
      <c r="AA29" s="29"/>
      <c r="AB29" s="53"/>
    </row>
    <row r="30" spans="1:28" ht="25.5" customHeight="1" x14ac:dyDescent="0.2">
      <c r="A30" s="52" t="s">
        <v>28</v>
      </c>
      <c r="B30" s="30" t="s">
        <v>32</v>
      </c>
      <c r="C30" s="29">
        <v>202</v>
      </c>
      <c r="D30" s="30" t="s">
        <v>11</v>
      </c>
      <c r="E30" s="29">
        <v>38</v>
      </c>
      <c r="F30" s="29">
        <v>31.7</v>
      </c>
      <c r="G30" s="29">
        <v>-2.1</v>
      </c>
      <c r="H30" s="31">
        <v>523000</v>
      </c>
      <c r="I30" s="29">
        <v>15</v>
      </c>
      <c r="J30" s="31">
        <v>267000</v>
      </c>
      <c r="K30" s="33">
        <v>30.5</v>
      </c>
      <c r="L30" s="33">
        <v>8.1</v>
      </c>
      <c r="M30" s="29">
        <v>3.8</v>
      </c>
      <c r="N30" s="29">
        <v>31.7</v>
      </c>
      <c r="O30" s="29">
        <v>-2.2000000000000002</v>
      </c>
      <c r="P30" s="29">
        <v>15</v>
      </c>
      <c r="Q30" s="70">
        <v>265000</v>
      </c>
      <c r="R30" s="33">
        <v>30.5</v>
      </c>
      <c r="S30" s="33">
        <v>8</v>
      </c>
      <c r="T30" s="33">
        <v>3.8</v>
      </c>
      <c r="U30" s="128" t="s">
        <v>14</v>
      </c>
      <c r="V30" s="128"/>
      <c r="W30" s="128"/>
      <c r="X30" s="128"/>
      <c r="Y30" s="128"/>
      <c r="Z30" s="29" t="s">
        <v>65</v>
      </c>
      <c r="AA30" s="29"/>
      <c r="AB30" s="53"/>
    </row>
    <row r="31" spans="1:28" ht="12.75" hidden="1" customHeight="1" x14ac:dyDescent="0.2">
      <c r="A31" s="52"/>
      <c r="B31" s="30"/>
      <c r="C31" s="29"/>
      <c r="D31" s="30"/>
      <c r="E31" s="29"/>
      <c r="F31" s="29"/>
      <c r="G31" s="29"/>
      <c r="H31" s="31"/>
      <c r="I31" s="29"/>
      <c r="J31" s="31"/>
      <c r="K31" s="33"/>
      <c r="L31" s="33"/>
      <c r="M31" s="29"/>
      <c r="N31" s="29"/>
      <c r="O31" s="32"/>
      <c r="P31" s="31"/>
      <c r="Q31" s="70"/>
      <c r="R31" s="33"/>
      <c r="S31" s="33"/>
      <c r="T31" s="33"/>
      <c r="U31" s="29"/>
      <c r="V31" s="34"/>
      <c r="W31" s="34"/>
      <c r="X31" s="34"/>
      <c r="Y31" s="34"/>
      <c r="Z31" s="29"/>
      <c r="AA31" s="29"/>
      <c r="AB31" s="53"/>
    </row>
    <row r="32" spans="1:28" ht="25.5" customHeight="1" x14ac:dyDescent="0.2">
      <c r="A32" s="55" t="s">
        <v>30</v>
      </c>
      <c r="B32" s="56" t="s">
        <v>32</v>
      </c>
      <c r="C32" s="57">
        <v>202</v>
      </c>
      <c r="D32" s="56" t="s">
        <v>10</v>
      </c>
      <c r="E32" s="57">
        <v>119</v>
      </c>
      <c r="F32" s="57">
        <v>31.7</v>
      </c>
      <c r="G32" s="57">
        <v>-6.7</v>
      </c>
      <c r="H32" s="58">
        <v>332000</v>
      </c>
      <c r="I32" s="57">
        <v>14</v>
      </c>
      <c r="J32" s="58">
        <v>185000</v>
      </c>
      <c r="K32" s="59">
        <v>17.100000000000001</v>
      </c>
      <c r="L32" s="59">
        <v>5.2</v>
      </c>
      <c r="M32" s="57">
        <v>3.3</v>
      </c>
      <c r="N32" s="57">
        <v>31.7</v>
      </c>
      <c r="O32" s="62">
        <v>-7.1</v>
      </c>
      <c r="P32" s="58">
        <v>14</v>
      </c>
      <c r="Q32" s="71">
        <v>176000</v>
      </c>
      <c r="R32" s="59">
        <v>17.100000000000001</v>
      </c>
      <c r="S32" s="59">
        <v>5</v>
      </c>
      <c r="T32" s="59">
        <v>3.4</v>
      </c>
      <c r="U32" s="127" t="s">
        <v>33</v>
      </c>
      <c r="V32" s="127"/>
      <c r="W32" s="127"/>
      <c r="X32" s="127"/>
      <c r="Y32" s="127"/>
      <c r="Z32" s="57" t="s">
        <v>62</v>
      </c>
      <c r="AA32" s="57"/>
      <c r="AB32" s="65"/>
    </row>
    <row r="33" spans="1:28" ht="12.75" x14ac:dyDescent="0.2">
      <c r="A33" s="29"/>
      <c r="B33" s="30"/>
      <c r="C33" s="29"/>
      <c r="D33" s="30"/>
      <c r="E33" s="29"/>
      <c r="F33" s="33"/>
      <c r="G33" s="29"/>
      <c r="H33" s="31"/>
      <c r="I33" s="29"/>
      <c r="J33" s="31"/>
      <c r="K33" s="29"/>
      <c r="L33" s="29"/>
      <c r="M33" s="29"/>
      <c r="N33" s="29"/>
      <c r="O33" s="32"/>
      <c r="P33" s="31"/>
      <c r="Q33" s="31"/>
      <c r="R33" s="29"/>
      <c r="S33" s="29"/>
      <c r="T33" s="33"/>
      <c r="U33" s="34"/>
      <c r="V33" s="34"/>
      <c r="W33" s="34"/>
      <c r="X33" s="34"/>
      <c r="Y33" s="34"/>
    </row>
    <row r="34" spans="1:28" ht="12.75" customHeight="1" x14ac:dyDescent="0.2">
      <c r="A34" s="45" t="s">
        <v>1</v>
      </c>
      <c r="B34" s="46" t="s">
        <v>2</v>
      </c>
      <c r="C34" s="46"/>
      <c r="D34" s="47" t="s">
        <v>4</v>
      </c>
      <c r="E34" s="47"/>
      <c r="F34" s="48" t="s">
        <v>49</v>
      </c>
      <c r="G34" s="48"/>
      <c r="H34" s="47" t="s">
        <v>8</v>
      </c>
      <c r="I34" s="49" t="s">
        <v>77</v>
      </c>
      <c r="J34" s="50" t="s">
        <v>78</v>
      </c>
      <c r="K34" s="48" t="s">
        <v>74</v>
      </c>
      <c r="L34" s="48" t="s">
        <v>75</v>
      </c>
      <c r="M34" s="48" t="s">
        <v>76</v>
      </c>
      <c r="N34" s="48" t="s">
        <v>7</v>
      </c>
      <c r="O34" s="48"/>
      <c r="P34" s="49" t="s">
        <v>77</v>
      </c>
      <c r="Q34" s="50" t="s">
        <v>78</v>
      </c>
      <c r="R34" s="48" t="s">
        <v>74</v>
      </c>
      <c r="S34" s="48" t="s">
        <v>75</v>
      </c>
      <c r="T34" s="48" t="s">
        <v>76</v>
      </c>
      <c r="U34" s="48" t="s">
        <v>12</v>
      </c>
      <c r="V34" s="48"/>
      <c r="W34" s="48"/>
      <c r="X34" s="48"/>
      <c r="Y34" s="48"/>
      <c r="Z34" s="48"/>
      <c r="AA34" s="48"/>
      <c r="AB34" s="51"/>
    </row>
    <row r="35" spans="1:28" x14ac:dyDescent="0.2">
      <c r="A35" s="52"/>
      <c r="B35" s="29"/>
      <c r="C35" s="30" t="s">
        <v>3</v>
      </c>
      <c r="D35" s="29"/>
      <c r="E35" s="42" t="s">
        <v>3</v>
      </c>
      <c r="F35" s="29" t="s">
        <v>5</v>
      </c>
      <c r="G35" s="30" t="s">
        <v>6</v>
      </c>
      <c r="H35" s="43" t="s">
        <v>9</v>
      </c>
      <c r="I35" s="126">
        <v>20</v>
      </c>
      <c r="J35" s="126"/>
      <c r="K35" s="126"/>
      <c r="L35" s="126"/>
      <c r="M35" s="126"/>
      <c r="N35" s="29" t="s">
        <v>5</v>
      </c>
      <c r="O35" s="30" t="s">
        <v>6</v>
      </c>
      <c r="P35" s="126">
        <v>22</v>
      </c>
      <c r="Q35" s="126"/>
      <c r="R35" s="126"/>
      <c r="S35" s="126"/>
      <c r="T35" s="126"/>
      <c r="U35" s="29"/>
      <c r="V35" s="29"/>
      <c r="W35" s="29"/>
      <c r="X35" s="29"/>
      <c r="Y35" s="29"/>
      <c r="Z35" s="29"/>
      <c r="AA35" s="29"/>
      <c r="AB35" s="53"/>
    </row>
    <row r="36" spans="1:28" ht="12.75" hidden="1" customHeight="1" x14ac:dyDescent="0.2">
      <c r="A36" s="52"/>
      <c r="B36" s="29"/>
      <c r="C36" s="30"/>
      <c r="D36" s="29"/>
      <c r="E36" s="30"/>
      <c r="F36" s="29"/>
      <c r="G36" s="30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53"/>
    </row>
    <row r="37" spans="1:28" ht="12.75" hidden="1" customHeight="1" x14ac:dyDescent="0.2">
      <c r="A37" s="52"/>
      <c r="B37" s="30"/>
      <c r="C37" s="29"/>
      <c r="D37" s="30"/>
      <c r="E37" s="29"/>
      <c r="F37" s="33"/>
      <c r="G37" s="29"/>
      <c r="H37" s="31"/>
      <c r="I37" s="29"/>
      <c r="J37" s="31"/>
      <c r="K37" s="33"/>
      <c r="L37" s="33"/>
      <c r="M37" s="33"/>
      <c r="N37" s="33"/>
      <c r="O37" s="29"/>
      <c r="P37" s="29"/>
      <c r="Q37" s="31"/>
      <c r="R37" s="33"/>
      <c r="S37" s="33"/>
      <c r="T37" s="33"/>
      <c r="U37" s="29"/>
      <c r="V37" s="34"/>
      <c r="W37" s="34"/>
      <c r="X37" s="34"/>
      <c r="Y37" s="34"/>
      <c r="Z37" s="29"/>
      <c r="AA37" s="29"/>
      <c r="AB37" s="53"/>
    </row>
    <row r="38" spans="1:28" ht="25.5" customHeight="1" x14ac:dyDescent="0.2">
      <c r="A38" s="52" t="s">
        <v>70</v>
      </c>
      <c r="B38" s="30" t="s">
        <v>43</v>
      </c>
      <c r="C38" s="29">
        <v>354</v>
      </c>
      <c r="D38" s="30" t="s">
        <v>60</v>
      </c>
      <c r="E38" s="29">
        <v>81</v>
      </c>
      <c r="F38" s="33">
        <v>35.5</v>
      </c>
      <c r="G38" s="29">
        <v>3.4</v>
      </c>
      <c r="H38" s="31">
        <v>434000</v>
      </c>
      <c r="I38" s="29">
        <v>9</v>
      </c>
      <c r="J38" s="31">
        <v>533000</v>
      </c>
      <c r="K38" s="33">
        <v>14.4</v>
      </c>
      <c r="L38" s="33">
        <v>13.7</v>
      </c>
      <c r="M38" s="29">
        <v>1.1000000000000001</v>
      </c>
      <c r="N38" s="33">
        <v>33.700000000000003</v>
      </c>
      <c r="O38" s="29">
        <v>3.4</v>
      </c>
      <c r="P38" s="29">
        <v>9</v>
      </c>
      <c r="Q38" s="70">
        <v>490000</v>
      </c>
      <c r="R38" s="33">
        <v>14.4</v>
      </c>
      <c r="S38" s="33">
        <v>13.3</v>
      </c>
      <c r="T38" s="33">
        <v>1.1000000000000001</v>
      </c>
      <c r="U38" s="128" t="s">
        <v>72</v>
      </c>
      <c r="V38" s="128"/>
      <c r="W38" s="128"/>
      <c r="X38" s="128"/>
      <c r="Y38" s="128"/>
      <c r="Z38" s="29" t="s">
        <v>65</v>
      </c>
      <c r="AA38" s="29"/>
      <c r="AB38" s="53"/>
    </row>
    <row r="39" spans="1:28" ht="12.75" hidden="1" customHeight="1" x14ac:dyDescent="0.2">
      <c r="A39" s="52"/>
      <c r="B39" s="30"/>
      <c r="C39" s="29"/>
      <c r="D39" s="30"/>
      <c r="E39" s="29"/>
      <c r="F39" s="33"/>
      <c r="G39" s="29"/>
      <c r="H39" s="31"/>
      <c r="I39" s="29"/>
      <c r="J39" s="31"/>
      <c r="K39" s="33"/>
      <c r="L39" s="33"/>
      <c r="M39" s="29"/>
      <c r="N39" s="33"/>
      <c r="O39" s="29"/>
      <c r="P39" s="29"/>
      <c r="Q39" s="70"/>
      <c r="R39" s="33"/>
      <c r="S39" s="33"/>
      <c r="T39" s="33"/>
      <c r="U39" s="29"/>
      <c r="V39" s="34"/>
      <c r="W39" s="34"/>
      <c r="X39" s="34"/>
      <c r="Y39" s="34"/>
      <c r="Z39" s="29"/>
      <c r="AA39" s="29"/>
      <c r="AB39" s="53"/>
    </row>
    <row r="40" spans="1:28" ht="25.5" customHeight="1" x14ac:dyDescent="0.2">
      <c r="A40" s="52" t="s">
        <v>40</v>
      </c>
      <c r="B40" s="30" t="s">
        <v>43</v>
      </c>
      <c r="C40" s="29">
        <v>354</v>
      </c>
      <c r="D40" s="30" t="s">
        <v>11</v>
      </c>
      <c r="E40" s="29">
        <v>45</v>
      </c>
      <c r="F40" s="33">
        <v>51</v>
      </c>
      <c r="G40" s="29">
        <v>-1.3</v>
      </c>
      <c r="H40" s="31">
        <v>630000</v>
      </c>
      <c r="I40" s="29">
        <v>11</v>
      </c>
      <c r="J40" s="31">
        <v>474000</v>
      </c>
      <c r="K40" s="33">
        <v>28.8</v>
      </c>
      <c r="L40" s="33">
        <v>14.3</v>
      </c>
      <c r="M40" s="33">
        <v>2</v>
      </c>
      <c r="N40" s="33">
        <v>51</v>
      </c>
      <c r="O40" s="29">
        <v>-1.8</v>
      </c>
      <c r="P40" s="29">
        <v>11</v>
      </c>
      <c r="Q40" s="70">
        <v>456000</v>
      </c>
      <c r="R40" s="33">
        <v>28.8</v>
      </c>
      <c r="S40" s="33">
        <v>14</v>
      </c>
      <c r="T40" s="33">
        <v>2.1</v>
      </c>
      <c r="U40" s="128" t="s">
        <v>71</v>
      </c>
      <c r="V40" s="128"/>
      <c r="W40" s="128"/>
      <c r="X40" s="128"/>
      <c r="Y40" s="128"/>
      <c r="Z40" s="29" t="s">
        <v>79</v>
      </c>
      <c r="AA40" s="29"/>
      <c r="AB40" s="53"/>
    </row>
    <row r="41" spans="1:28" ht="12.75" hidden="1" customHeight="1" x14ac:dyDescent="0.2">
      <c r="A41" s="52"/>
      <c r="B41" s="30"/>
      <c r="C41" s="29"/>
      <c r="D41" s="30"/>
      <c r="E41" s="29"/>
      <c r="F41" s="29"/>
      <c r="G41" s="29"/>
      <c r="H41" s="31"/>
      <c r="I41" s="29"/>
      <c r="J41" s="31"/>
      <c r="K41" s="33"/>
      <c r="L41" s="33"/>
      <c r="M41" s="29"/>
      <c r="N41" s="29"/>
      <c r="O41" s="32"/>
      <c r="P41" s="31"/>
      <c r="Q41" s="70"/>
      <c r="R41" s="33"/>
      <c r="S41" s="33"/>
      <c r="T41" s="33"/>
      <c r="U41" s="29"/>
      <c r="V41" s="34"/>
      <c r="W41" s="34"/>
      <c r="X41" s="34"/>
      <c r="Y41" s="34"/>
      <c r="Z41" s="29"/>
      <c r="AA41" s="29"/>
      <c r="AB41" s="53"/>
    </row>
    <row r="42" spans="1:28" ht="25.5" customHeight="1" x14ac:dyDescent="0.2">
      <c r="A42" s="52" t="s">
        <v>68</v>
      </c>
      <c r="B42" s="30" t="s">
        <v>38</v>
      </c>
      <c r="C42" s="29">
        <v>256</v>
      </c>
      <c r="D42" s="30" t="s">
        <v>60</v>
      </c>
      <c r="E42" s="29">
        <v>84</v>
      </c>
      <c r="F42" s="29">
        <v>21.2</v>
      </c>
      <c r="G42" s="29">
        <v>3.4</v>
      </c>
      <c r="H42" s="31">
        <v>396000</v>
      </c>
      <c r="I42" s="29">
        <v>13</v>
      </c>
      <c r="J42" s="31">
        <v>215000</v>
      </c>
      <c r="K42" s="41">
        <v>12.5</v>
      </c>
      <c r="L42" s="41">
        <v>9.5</v>
      </c>
      <c r="M42" s="29">
        <v>1.3</v>
      </c>
      <c r="N42" s="29">
        <v>19.2</v>
      </c>
      <c r="O42" s="32">
        <v>3.4</v>
      </c>
      <c r="P42" s="31">
        <v>14</v>
      </c>
      <c r="Q42" s="70">
        <v>169000</v>
      </c>
      <c r="R42" s="33">
        <v>12.5</v>
      </c>
      <c r="S42" s="33">
        <v>9</v>
      </c>
      <c r="T42" s="33">
        <v>1.4</v>
      </c>
      <c r="U42" s="128" t="s">
        <v>14</v>
      </c>
      <c r="V42" s="128"/>
      <c r="W42" s="128"/>
      <c r="X42" s="128"/>
      <c r="Y42" s="128"/>
      <c r="Z42" s="29" t="s">
        <v>65</v>
      </c>
      <c r="AA42" s="29"/>
      <c r="AB42" s="53"/>
    </row>
    <row r="43" spans="1:28" ht="12.75" hidden="1" customHeight="1" x14ac:dyDescent="0.2">
      <c r="A43" s="52"/>
      <c r="B43" s="30"/>
      <c r="C43" s="29"/>
      <c r="D43" s="30"/>
      <c r="E43" s="29"/>
      <c r="F43" s="29"/>
      <c r="G43" s="29"/>
      <c r="H43" s="31"/>
      <c r="I43" s="29"/>
      <c r="J43" s="31"/>
      <c r="K43" s="41"/>
      <c r="L43" s="41"/>
      <c r="M43" s="29"/>
      <c r="N43" s="29"/>
      <c r="O43" s="32"/>
      <c r="P43" s="31"/>
      <c r="Q43" s="70"/>
      <c r="R43" s="33"/>
      <c r="S43" s="33"/>
      <c r="T43" s="33"/>
      <c r="U43" s="29"/>
      <c r="V43" s="34"/>
      <c r="W43" s="34"/>
      <c r="X43" s="34"/>
      <c r="Y43" s="34"/>
      <c r="Z43" s="29"/>
      <c r="AA43" s="29"/>
      <c r="AB43" s="53"/>
    </row>
    <row r="44" spans="1:28" ht="25.5" customHeight="1" x14ac:dyDescent="0.2">
      <c r="A44" s="55" t="s">
        <v>42</v>
      </c>
      <c r="B44" s="56" t="s">
        <v>38</v>
      </c>
      <c r="C44" s="57">
        <v>256</v>
      </c>
      <c r="D44" s="56" t="s">
        <v>11</v>
      </c>
      <c r="E44" s="57">
        <v>49</v>
      </c>
      <c r="F44" s="57">
        <v>37.299999999999997</v>
      </c>
      <c r="G44" s="57">
        <v>-1.5</v>
      </c>
      <c r="H44" s="58">
        <v>592000</v>
      </c>
      <c r="I44" s="57">
        <v>15</v>
      </c>
      <c r="J44" s="58">
        <v>137000</v>
      </c>
      <c r="K44" s="69">
        <v>27</v>
      </c>
      <c r="L44" s="69">
        <v>10.1</v>
      </c>
      <c r="M44" s="57">
        <v>2.7</v>
      </c>
      <c r="N44" s="57">
        <v>37.299999999999997</v>
      </c>
      <c r="O44" s="62">
        <v>-2.1</v>
      </c>
      <c r="P44" s="58">
        <v>15</v>
      </c>
      <c r="Q44" s="71">
        <v>120000</v>
      </c>
      <c r="R44" s="59">
        <v>27</v>
      </c>
      <c r="S44" s="59">
        <v>9.8000000000000007</v>
      </c>
      <c r="T44" s="59">
        <v>2.8</v>
      </c>
      <c r="U44" s="127" t="s">
        <v>14</v>
      </c>
      <c r="V44" s="127"/>
      <c r="W44" s="127"/>
      <c r="X44" s="127"/>
      <c r="Y44" s="127"/>
      <c r="Z44" s="57" t="s">
        <v>79</v>
      </c>
      <c r="AA44" s="57"/>
      <c r="AB44" s="65"/>
    </row>
    <row r="46" spans="1:28" ht="13.5" thickBo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9" spans="1:20" ht="12.75" customHeight="1" x14ac:dyDescent="0.2">
      <c r="A49" s="45" t="s">
        <v>1</v>
      </c>
      <c r="B49" s="46" t="s">
        <v>2</v>
      </c>
      <c r="C49" s="46"/>
      <c r="D49" s="47" t="s">
        <v>4</v>
      </c>
      <c r="E49" s="47"/>
      <c r="F49" s="48" t="s">
        <v>7</v>
      </c>
      <c r="G49" s="48"/>
      <c r="H49" s="47" t="s">
        <v>8</v>
      </c>
      <c r="I49" s="49" t="s">
        <v>77</v>
      </c>
      <c r="J49" s="50" t="s">
        <v>78</v>
      </c>
      <c r="K49" s="48" t="s">
        <v>74</v>
      </c>
      <c r="L49" s="48" t="s">
        <v>75</v>
      </c>
      <c r="M49" s="48" t="s">
        <v>76</v>
      </c>
      <c r="N49" s="48" t="s">
        <v>12</v>
      </c>
      <c r="O49" s="48"/>
      <c r="P49" s="48"/>
      <c r="Q49" s="48"/>
      <c r="R49" s="48"/>
      <c r="S49" s="48"/>
      <c r="T49" s="51"/>
    </row>
    <row r="50" spans="1:20" x14ac:dyDescent="0.2">
      <c r="A50" s="52"/>
      <c r="B50" s="29"/>
      <c r="C50" s="30" t="s">
        <v>3</v>
      </c>
      <c r="D50" s="29"/>
      <c r="E50" s="42" t="s">
        <v>3</v>
      </c>
      <c r="F50" s="29" t="s">
        <v>5</v>
      </c>
      <c r="G50" s="30" t="s">
        <v>6</v>
      </c>
      <c r="H50" s="43" t="s">
        <v>9</v>
      </c>
      <c r="I50" s="126">
        <v>22</v>
      </c>
      <c r="J50" s="126"/>
      <c r="K50" s="126"/>
      <c r="L50" s="126"/>
      <c r="M50" s="126"/>
      <c r="N50" s="29"/>
      <c r="O50" s="29"/>
      <c r="P50" s="29"/>
      <c r="Q50" s="29"/>
      <c r="R50" s="29"/>
      <c r="S50" s="29"/>
      <c r="T50" s="53"/>
    </row>
    <row r="51" spans="1:20" ht="12.75" hidden="1" customHeight="1" x14ac:dyDescent="0.2">
      <c r="A51" s="52"/>
      <c r="B51" s="29"/>
      <c r="C51" s="30"/>
      <c r="D51" s="29"/>
      <c r="E51" s="30"/>
      <c r="F51" s="29"/>
      <c r="G51" s="30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53"/>
    </row>
    <row r="52" spans="1:20" ht="12.75" hidden="1" customHeight="1" x14ac:dyDescent="0.2">
      <c r="A52" s="52"/>
      <c r="B52" s="30"/>
      <c r="C52" s="29"/>
      <c r="D52" s="30"/>
      <c r="E52" s="29"/>
      <c r="F52" s="29"/>
      <c r="G52" s="29"/>
      <c r="H52" s="31"/>
      <c r="I52" s="29"/>
      <c r="J52" s="31"/>
      <c r="K52" s="33"/>
      <c r="L52" s="33"/>
      <c r="M52" s="33"/>
      <c r="N52" s="29"/>
      <c r="O52" s="34"/>
      <c r="P52" s="34"/>
      <c r="Q52" s="34"/>
      <c r="R52" s="29"/>
      <c r="S52" s="34"/>
      <c r="T52" s="54"/>
    </row>
    <row r="53" spans="1:20" ht="25.5" customHeight="1" x14ac:dyDescent="0.2">
      <c r="A53" s="52" t="s">
        <v>59</v>
      </c>
      <c r="B53" s="30" t="s">
        <v>32</v>
      </c>
      <c r="C53" s="29">
        <v>220</v>
      </c>
      <c r="D53" s="30" t="s">
        <v>10</v>
      </c>
      <c r="E53" s="29">
        <v>104</v>
      </c>
      <c r="F53" s="29">
        <v>45.1</v>
      </c>
      <c r="G53" s="29">
        <v>3.8</v>
      </c>
      <c r="H53" s="31">
        <v>809000</v>
      </c>
      <c r="I53" s="29">
        <v>23</v>
      </c>
      <c r="J53" s="70">
        <v>14000</v>
      </c>
      <c r="K53" s="33">
        <v>10.9</v>
      </c>
      <c r="L53" s="33">
        <v>12.6</v>
      </c>
      <c r="M53" s="29">
        <v>0.9</v>
      </c>
      <c r="N53" s="128" t="s">
        <v>66</v>
      </c>
      <c r="O53" s="128"/>
      <c r="P53" s="128"/>
      <c r="Q53" s="128"/>
      <c r="R53" s="29" t="s">
        <v>65</v>
      </c>
      <c r="S53" s="34"/>
      <c r="T53" s="54"/>
    </row>
    <row r="54" spans="1:20" ht="12.75" hidden="1" customHeight="1" x14ac:dyDescent="0.2">
      <c r="A54" s="52"/>
      <c r="B54" s="30"/>
      <c r="C54" s="29"/>
      <c r="D54" s="30"/>
      <c r="E54" s="29"/>
      <c r="F54" s="29"/>
      <c r="G54" s="29"/>
      <c r="H54" s="31"/>
      <c r="I54" s="29"/>
      <c r="J54" s="70"/>
      <c r="K54" s="33"/>
      <c r="L54" s="33"/>
      <c r="M54" s="29"/>
      <c r="N54" s="29"/>
      <c r="O54" s="34"/>
      <c r="P54" s="34"/>
      <c r="Q54" s="34"/>
      <c r="R54" s="29"/>
      <c r="S54" s="34"/>
      <c r="T54" s="54"/>
    </row>
    <row r="55" spans="1:20" ht="25.5" customHeight="1" x14ac:dyDescent="0.2">
      <c r="A55" s="55" t="s">
        <v>57</v>
      </c>
      <c r="B55" s="56" t="s">
        <v>32</v>
      </c>
      <c r="C55" s="57">
        <v>220</v>
      </c>
      <c r="D55" s="56" t="s">
        <v>60</v>
      </c>
      <c r="E55" s="57">
        <v>91</v>
      </c>
      <c r="F55" s="57">
        <v>51.4</v>
      </c>
      <c r="G55" s="57">
        <v>3.8</v>
      </c>
      <c r="H55" s="58">
        <v>1611000</v>
      </c>
      <c r="I55" s="57">
        <v>41</v>
      </c>
      <c r="J55" s="71">
        <v>-74000</v>
      </c>
      <c r="K55" s="59">
        <v>14.7</v>
      </c>
      <c r="L55" s="59">
        <v>14</v>
      </c>
      <c r="M55" s="59">
        <v>1</v>
      </c>
      <c r="N55" s="127" t="s">
        <v>14</v>
      </c>
      <c r="O55" s="127"/>
      <c r="P55" s="127"/>
      <c r="Q55" s="127"/>
      <c r="R55" s="57" t="s">
        <v>62</v>
      </c>
      <c r="S55" s="60"/>
      <c r="T55" s="61"/>
    </row>
    <row r="56" spans="1:20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</row>
    <row r="57" spans="1:20" ht="12.75" customHeight="1" x14ac:dyDescent="0.2">
      <c r="A57" s="45" t="s">
        <v>1</v>
      </c>
      <c r="B57" s="46" t="s">
        <v>2</v>
      </c>
      <c r="C57" s="46"/>
      <c r="D57" s="47" t="s">
        <v>4</v>
      </c>
      <c r="E57" s="47"/>
      <c r="F57" s="48" t="s">
        <v>7</v>
      </c>
      <c r="G57" s="48"/>
      <c r="H57" s="47" t="s">
        <v>8</v>
      </c>
      <c r="I57" s="49" t="s">
        <v>77</v>
      </c>
      <c r="J57" s="50" t="s">
        <v>78</v>
      </c>
      <c r="K57" s="48" t="s">
        <v>74</v>
      </c>
      <c r="L57" s="48" t="s">
        <v>75</v>
      </c>
      <c r="M57" s="48" t="s">
        <v>76</v>
      </c>
      <c r="N57" s="48" t="s">
        <v>12</v>
      </c>
      <c r="O57" s="48"/>
      <c r="P57" s="48"/>
      <c r="Q57" s="48"/>
      <c r="R57" s="48"/>
      <c r="S57" s="48"/>
      <c r="T57" s="51"/>
    </row>
    <row r="58" spans="1:20" x14ac:dyDescent="0.2">
      <c r="A58" s="52"/>
      <c r="B58" s="29"/>
      <c r="C58" s="30" t="s">
        <v>3</v>
      </c>
      <c r="D58" s="29"/>
      <c r="E58" s="42" t="s">
        <v>3</v>
      </c>
      <c r="F58" s="29" t="s">
        <v>5</v>
      </c>
      <c r="G58" s="30" t="s">
        <v>6</v>
      </c>
      <c r="H58" s="43" t="s">
        <v>9</v>
      </c>
      <c r="I58" s="126">
        <v>22</v>
      </c>
      <c r="J58" s="126"/>
      <c r="K58" s="126"/>
      <c r="L58" s="126"/>
      <c r="M58" s="126"/>
      <c r="N58" s="29"/>
      <c r="O58" s="29"/>
      <c r="P58" s="29"/>
      <c r="Q58" s="29"/>
      <c r="R58" s="29"/>
      <c r="S58" s="29"/>
      <c r="T58" s="53"/>
    </row>
    <row r="59" spans="1:20" ht="12.75" hidden="1" customHeight="1" x14ac:dyDescent="0.2">
      <c r="A59" s="52"/>
      <c r="B59" s="29"/>
      <c r="C59" s="30"/>
      <c r="D59" s="29"/>
      <c r="E59" s="30"/>
      <c r="F59" s="29"/>
      <c r="G59" s="30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53"/>
    </row>
    <row r="60" spans="1:20" ht="12.75" hidden="1" customHeight="1" x14ac:dyDescent="0.2">
      <c r="A60" s="52"/>
      <c r="B60" s="30"/>
      <c r="C60" s="29"/>
      <c r="D60" s="30"/>
      <c r="E60" s="29"/>
      <c r="F60" s="29"/>
      <c r="G60" s="29"/>
      <c r="H60" s="31"/>
      <c r="I60" s="29"/>
      <c r="J60" s="31"/>
      <c r="K60" s="32"/>
      <c r="L60" s="32"/>
      <c r="M60" s="29"/>
      <c r="N60" s="29"/>
      <c r="O60" s="34"/>
      <c r="P60" s="34"/>
      <c r="Q60" s="34"/>
      <c r="R60" s="29"/>
      <c r="S60" s="34"/>
      <c r="T60" s="54"/>
    </row>
    <row r="61" spans="1:20" ht="25.5" customHeight="1" x14ac:dyDescent="0.2">
      <c r="A61" s="52" t="s">
        <v>36</v>
      </c>
      <c r="B61" s="30" t="s">
        <v>38</v>
      </c>
      <c r="C61" s="29">
        <v>281</v>
      </c>
      <c r="D61" s="30" t="s">
        <v>10</v>
      </c>
      <c r="E61" s="29">
        <v>106</v>
      </c>
      <c r="F61" s="29">
        <v>50.1</v>
      </c>
      <c r="G61" s="29">
        <v>2.1</v>
      </c>
      <c r="H61" s="31">
        <v>469000</v>
      </c>
      <c r="I61" s="29">
        <v>13</v>
      </c>
      <c r="J61" s="70">
        <v>286000</v>
      </c>
      <c r="K61" s="32">
        <v>5.8</v>
      </c>
      <c r="L61" s="32">
        <v>12.7</v>
      </c>
      <c r="M61" s="29">
        <v>0.5</v>
      </c>
      <c r="N61" s="128" t="s">
        <v>13</v>
      </c>
      <c r="O61" s="128"/>
      <c r="P61" s="128"/>
      <c r="Q61" s="128"/>
      <c r="R61" s="29" t="s">
        <v>65</v>
      </c>
      <c r="S61" s="34"/>
      <c r="T61" s="54"/>
    </row>
    <row r="62" spans="1:20" ht="12.75" hidden="1" customHeight="1" x14ac:dyDescent="0.2">
      <c r="A62" s="52"/>
      <c r="B62" s="30"/>
      <c r="C62" s="29"/>
      <c r="D62" s="30"/>
      <c r="E62" s="29"/>
      <c r="F62" s="29"/>
      <c r="G62" s="29"/>
      <c r="H62" s="31"/>
      <c r="I62" s="29"/>
      <c r="J62" s="70"/>
      <c r="K62" s="32"/>
      <c r="L62" s="32"/>
      <c r="M62" s="29"/>
      <c r="N62" s="29"/>
      <c r="O62" s="34"/>
      <c r="P62" s="34"/>
      <c r="Q62" s="34"/>
      <c r="R62" s="29"/>
      <c r="S62" s="34"/>
      <c r="T62" s="54"/>
    </row>
    <row r="63" spans="1:20" ht="25.5" customHeight="1" x14ac:dyDescent="0.2">
      <c r="A63" s="55" t="s">
        <v>34</v>
      </c>
      <c r="B63" s="56" t="s">
        <v>38</v>
      </c>
      <c r="C63" s="57">
        <v>281</v>
      </c>
      <c r="D63" s="56" t="s">
        <v>11</v>
      </c>
      <c r="E63" s="57">
        <v>78</v>
      </c>
      <c r="F63" s="57">
        <v>59.2</v>
      </c>
      <c r="G63" s="57">
        <v>2.1</v>
      </c>
      <c r="H63" s="58">
        <v>766000</v>
      </c>
      <c r="I63" s="57">
        <v>18</v>
      </c>
      <c r="J63" s="71">
        <v>255000</v>
      </c>
      <c r="K63" s="62">
        <v>10.3</v>
      </c>
      <c r="L63" s="62">
        <v>14.7</v>
      </c>
      <c r="M63" s="57">
        <v>0.7</v>
      </c>
      <c r="N63" s="127" t="s">
        <v>14</v>
      </c>
      <c r="O63" s="127"/>
      <c r="P63" s="127"/>
      <c r="Q63" s="127"/>
      <c r="R63" s="57" t="s">
        <v>73</v>
      </c>
      <c r="S63" s="60"/>
      <c r="T63" s="61"/>
    </row>
    <row r="64" spans="1:20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</row>
    <row r="65" spans="1:20" x14ac:dyDescent="0.2">
      <c r="A65" s="45" t="s">
        <v>1</v>
      </c>
      <c r="B65" s="46" t="s">
        <v>2</v>
      </c>
      <c r="C65" s="46"/>
      <c r="D65" s="47" t="s">
        <v>4</v>
      </c>
      <c r="E65" s="47"/>
      <c r="F65" s="48" t="s">
        <v>7</v>
      </c>
      <c r="G65" s="48"/>
      <c r="H65" s="47" t="s">
        <v>8</v>
      </c>
      <c r="I65" s="49" t="s">
        <v>77</v>
      </c>
      <c r="J65" s="50" t="s">
        <v>78</v>
      </c>
      <c r="K65" s="48" t="s">
        <v>74</v>
      </c>
      <c r="L65" s="48" t="s">
        <v>75</v>
      </c>
      <c r="M65" s="48" t="s">
        <v>76</v>
      </c>
      <c r="N65" s="48" t="s">
        <v>12</v>
      </c>
      <c r="O65" s="48"/>
      <c r="P65" s="48"/>
      <c r="Q65" s="48"/>
      <c r="R65" s="48"/>
      <c r="S65" s="48"/>
      <c r="T65" s="51"/>
    </row>
    <row r="66" spans="1:20" x14ac:dyDescent="0.2">
      <c r="A66" s="52"/>
      <c r="B66" s="29"/>
      <c r="C66" s="30" t="s">
        <v>3</v>
      </c>
      <c r="D66" s="29"/>
      <c r="E66" s="42" t="s">
        <v>3</v>
      </c>
      <c r="F66" s="29" t="s">
        <v>5</v>
      </c>
      <c r="G66" s="30" t="s">
        <v>6</v>
      </c>
      <c r="H66" s="43" t="s">
        <v>9</v>
      </c>
      <c r="I66" s="126">
        <v>22</v>
      </c>
      <c r="J66" s="126"/>
      <c r="K66" s="126"/>
      <c r="L66" s="126"/>
      <c r="M66" s="126"/>
      <c r="N66" s="29"/>
      <c r="O66" s="29"/>
      <c r="P66" s="29"/>
      <c r="Q66" s="29"/>
      <c r="R66" s="29"/>
      <c r="S66" s="29"/>
      <c r="T66" s="53"/>
    </row>
    <row r="67" spans="1:20" ht="12.75" hidden="1" x14ac:dyDescent="0.2">
      <c r="A67" s="52"/>
      <c r="B67" s="29"/>
      <c r="C67" s="30"/>
      <c r="D67" s="29"/>
      <c r="E67" s="30"/>
      <c r="F67" s="29"/>
      <c r="G67" s="30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53"/>
    </row>
    <row r="68" spans="1:20" ht="12.75" hidden="1" customHeight="1" x14ac:dyDescent="0.2">
      <c r="A68" s="52"/>
      <c r="B68" s="30"/>
      <c r="C68" s="29"/>
      <c r="D68" s="30"/>
      <c r="E68" s="29"/>
      <c r="F68" s="29"/>
      <c r="G68" s="29"/>
      <c r="H68" s="31"/>
      <c r="I68" s="29"/>
      <c r="J68" s="31"/>
      <c r="K68" s="32"/>
      <c r="L68" s="32"/>
      <c r="M68" s="29"/>
      <c r="N68" s="29"/>
      <c r="O68" s="34"/>
      <c r="P68" s="34"/>
      <c r="Q68" s="34"/>
      <c r="R68" s="29"/>
      <c r="S68" s="34"/>
      <c r="T68" s="54"/>
    </row>
    <row r="69" spans="1:20" ht="25.5" customHeight="1" x14ac:dyDescent="0.2">
      <c r="A69" s="52" t="s">
        <v>48</v>
      </c>
      <c r="B69" s="30" t="s">
        <v>38</v>
      </c>
      <c r="C69" s="29">
        <v>220</v>
      </c>
      <c r="D69" s="30" t="s">
        <v>10</v>
      </c>
      <c r="E69" s="29">
        <v>128</v>
      </c>
      <c r="F69" s="29">
        <v>154.80000000000001</v>
      </c>
      <c r="G69" s="29">
        <v>14.5</v>
      </c>
      <c r="H69" s="31">
        <v>1617000</v>
      </c>
      <c r="I69" s="29">
        <v>13</v>
      </c>
      <c r="J69" s="70">
        <v>631000</v>
      </c>
      <c r="K69" s="32">
        <v>45</v>
      </c>
      <c r="L69" s="32">
        <v>44.2</v>
      </c>
      <c r="M69" s="33">
        <v>1</v>
      </c>
      <c r="N69" s="128" t="s">
        <v>46</v>
      </c>
      <c r="O69" s="128"/>
      <c r="P69" s="128"/>
      <c r="Q69" s="128"/>
      <c r="R69" s="29" t="s">
        <v>65</v>
      </c>
      <c r="S69" s="34"/>
      <c r="T69" s="54"/>
    </row>
    <row r="70" spans="1:20" ht="12.75" hidden="1" customHeight="1" x14ac:dyDescent="0.2">
      <c r="A70" s="52"/>
      <c r="B70" s="30"/>
      <c r="C70" s="29"/>
      <c r="D70" s="30"/>
      <c r="E70" s="29"/>
      <c r="F70" s="29"/>
      <c r="G70" s="29"/>
      <c r="H70" s="31"/>
      <c r="I70" s="29"/>
      <c r="J70" s="70"/>
      <c r="K70" s="32"/>
      <c r="L70" s="32"/>
      <c r="M70" s="33"/>
      <c r="N70" s="29"/>
      <c r="O70" s="34"/>
      <c r="P70" s="34"/>
      <c r="Q70" s="34"/>
      <c r="R70" s="29"/>
      <c r="S70" s="34"/>
      <c r="T70" s="54"/>
    </row>
    <row r="71" spans="1:20" ht="25.5" customHeight="1" x14ac:dyDescent="0.2">
      <c r="A71" s="55" t="s">
        <v>45</v>
      </c>
      <c r="B71" s="56" t="s">
        <v>38</v>
      </c>
      <c r="C71" s="57">
        <v>220</v>
      </c>
      <c r="D71" s="56" t="s">
        <v>10</v>
      </c>
      <c r="E71" s="57">
        <v>120</v>
      </c>
      <c r="F71" s="57">
        <v>173.9</v>
      </c>
      <c r="G71" s="57">
        <v>14.5</v>
      </c>
      <c r="H71" s="58">
        <v>2945000</v>
      </c>
      <c r="I71" s="57">
        <v>21</v>
      </c>
      <c r="J71" s="71">
        <v>131000</v>
      </c>
      <c r="K71" s="62">
        <v>52</v>
      </c>
      <c r="L71" s="62">
        <v>48.5</v>
      </c>
      <c r="M71" s="57">
        <v>1.1000000000000001</v>
      </c>
      <c r="N71" s="127" t="s">
        <v>14</v>
      </c>
      <c r="O71" s="127"/>
      <c r="P71" s="127"/>
      <c r="Q71" s="127"/>
      <c r="R71" s="57" t="s">
        <v>63</v>
      </c>
      <c r="S71" s="60"/>
      <c r="T71" s="61"/>
    </row>
    <row r="72" spans="1:20" x14ac:dyDescent="0.2">
      <c r="R72" s="34"/>
    </row>
  </sheetData>
  <sortState ref="A69:N71">
    <sortCondition descending="1" ref="J69"/>
  </sortState>
  <mergeCells count="35">
    <mergeCell ref="B3:C3"/>
    <mergeCell ref="D3:E3"/>
    <mergeCell ref="I4:M4"/>
    <mergeCell ref="P4:T4"/>
    <mergeCell ref="B13:C13"/>
    <mergeCell ref="D13:E13"/>
    <mergeCell ref="I14:M14"/>
    <mergeCell ref="P14:T14"/>
    <mergeCell ref="U17:Y17"/>
    <mergeCell ref="I50:M50"/>
    <mergeCell ref="I58:M58"/>
    <mergeCell ref="I35:M35"/>
    <mergeCell ref="P35:T35"/>
    <mergeCell ref="B26:C26"/>
    <mergeCell ref="D26:E26"/>
    <mergeCell ref="I27:M27"/>
    <mergeCell ref="P27:T27"/>
    <mergeCell ref="I66:M66"/>
    <mergeCell ref="N53:Q53"/>
    <mergeCell ref="N55:Q55"/>
    <mergeCell ref="N71:Q71"/>
    <mergeCell ref="N69:Q69"/>
    <mergeCell ref="N63:Q63"/>
    <mergeCell ref="U9:Y9"/>
    <mergeCell ref="U7:Y7"/>
    <mergeCell ref="N61:Q61"/>
    <mergeCell ref="U30:Y30"/>
    <mergeCell ref="U32:Y32"/>
    <mergeCell ref="U38:Y38"/>
    <mergeCell ref="U40:Y40"/>
    <mergeCell ref="U42:Y42"/>
    <mergeCell ref="U44:Y44"/>
    <mergeCell ref="U21:Y21"/>
    <mergeCell ref="U19:Y19"/>
    <mergeCell ref="U11:Y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AB72"/>
  <sheetViews>
    <sheetView topLeftCell="A14" zoomScale="80" zoomScaleNormal="80" workbookViewId="0">
      <pane xSplit="1" topLeftCell="B1" activePane="topRight" state="frozen"/>
      <selection pane="topRight" activeCell="F69" sqref="F69:F71"/>
    </sheetView>
  </sheetViews>
  <sheetFormatPr defaultRowHeight="12.6" x14ac:dyDescent="0.2"/>
  <cols>
    <col min="1" max="1" width="34.26953125" customWidth="1"/>
    <col min="2" max="2" width="4.26953125" customWidth="1"/>
    <col min="4" max="4" width="4.453125" customWidth="1"/>
    <col min="6" max="6" width="10.90625" customWidth="1"/>
    <col min="7" max="7" width="8.26953125" customWidth="1"/>
    <col min="8" max="8" width="11.6328125" customWidth="1"/>
    <col min="9" max="9" width="4.453125" bestFit="1" customWidth="1"/>
    <col min="10" max="10" width="12.36328125" customWidth="1"/>
    <col min="11" max="11" width="15" bestFit="1" customWidth="1"/>
    <col min="12" max="12" width="9.453125" bestFit="1" customWidth="1"/>
    <col min="13" max="13" width="9.36328125" bestFit="1" customWidth="1"/>
    <col min="14" max="14" width="10.36328125" customWidth="1"/>
    <col min="15" max="15" width="8.453125" customWidth="1"/>
    <col min="16" max="16" width="4.453125" bestFit="1" customWidth="1"/>
    <col min="17" max="17" width="11.90625" customWidth="1"/>
    <col min="18" max="18" width="14.36328125" customWidth="1"/>
    <col min="19" max="19" width="10.08984375" customWidth="1"/>
    <col min="20" max="20" width="9.36328125" customWidth="1"/>
  </cols>
  <sheetData>
    <row r="1" spans="1:28" x14ac:dyDescent="0.2">
      <c r="A1" t="s">
        <v>0</v>
      </c>
      <c r="C1" t="s">
        <v>15</v>
      </c>
      <c r="J1" t="s">
        <v>16</v>
      </c>
      <c r="Q1" t="s">
        <v>17</v>
      </c>
    </row>
    <row r="3" spans="1:28" x14ac:dyDescent="0.2">
      <c r="A3" s="45" t="s">
        <v>1</v>
      </c>
      <c r="B3" s="124" t="s">
        <v>2</v>
      </c>
      <c r="C3" s="124"/>
      <c r="D3" s="125" t="s">
        <v>4</v>
      </c>
      <c r="E3" s="125"/>
      <c r="F3" s="48" t="s">
        <v>7</v>
      </c>
      <c r="G3" s="48"/>
      <c r="H3" s="47" t="s">
        <v>8</v>
      </c>
      <c r="I3" s="49" t="s">
        <v>77</v>
      </c>
      <c r="J3" s="50" t="s">
        <v>78</v>
      </c>
      <c r="K3" s="48" t="s">
        <v>74</v>
      </c>
      <c r="L3" s="48" t="s">
        <v>75</v>
      </c>
      <c r="M3" s="48" t="s">
        <v>76</v>
      </c>
      <c r="N3" s="48" t="s">
        <v>22</v>
      </c>
      <c r="O3" s="48"/>
      <c r="P3" s="49" t="s">
        <v>77</v>
      </c>
      <c r="Q3" s="50" t="s">
        <v>78</v>
      </c>
      <c r="R3" s="48" t="s">
        <v>74</v>
      </c>
      <c r="S3" s="48" t="s">
        <v>75</v>
      </c>
      <c r="T3" s="48" t="s">
        <v>76</v>
      </c>
      <c r="U3" s="48" t="s">
        <v>12</v>
      </c>
      <c r="V3" s="48"/>
      <c r="W3" s="48"/>
      <c r="X3" s="48"/>
      <c r="Y3" s="48"/>
      <c r="Z3" s="48"/>
      <c r="AA3" s="48"/>
      <c r="AB3" s="51"/>
    </row>
    <row r="4" spans="1:28" x14ac:dyDescent="0.2">
      <c r="A4" s="52"/>
      <c r="B4" s="29"/>
      <c r="C4" s="30" t="s">
        <v>3</v>
      </c>
      <c r="D4" s="29"/>
      <c r="E4" s="42" t="s">
        <v>3</v>
      </c>
      <c r="F4" s="29" t="s">
        <v>5</v>
      </c>
      <c r="G4" s="30" t="s">
        <v>6</v>
      </c>
      <c r="H4" s="43" t="s">
        <v>9</v>
      </c>
      <c r="I4" s="126">
        <v>22</v>
      </c>
      <c r="J4" s="126"/>
      <c r="K4" s="126"/>
      <c r="L4" s="126"/>
      <c r="M4" s="126"/>
      <c r="N4" s="29" t="s">
        <v>5</v>
      </c>
      <c r="O4" s="30" t="s">
        <v>6</v>
      </c>
      <c r="P4" s="126">
        <v>23</v>
      </c>
      <c r="Q4" s="126"/>
      <c r="R4" s="126"/>
      <c r="S4" s="126"/>
      <c r="T4" s="126"/>
      <c r="U4" s="29"/>
      <c r="V4" s="29"/>
      <c r="W4" s="29"/>
      <c r="X4" s="29"/>
      <c r="Y4" s="29"/>
      <c r="Z4" s="29"/>
      <c r="AA4" s="29"/>
      <c r="AB4" s="53"/>
    </row>
    <row r="5" spans="1:28" ht="12.75" hidden="1" x14ac:dyDescent="0.2">
      <c r="A5" s="52"/>
      <c r="B5" s="29"/>
      <c r="C5" s="30"/>
      <c r="D5" s="29"/>
      <c r="E5" s="30"/>
      <c r="F5" s="29"/>
      <c r="G5" s="30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53"/>
    </row>
    <row r="6" spans="1:28" ht="12.75" hidden="1" customHeight="1" x14ac:dyDescent="0.2">
      <c r="A6" s="52"/>
      <c r="B6" s="30"/>
      <c r="C6" s="29"/>
      <c r="D6" s="30"/>
      <c r="E6" s="29"/>
      <c r="F6" s="29"/>
      <c r="G6" s="29"/>
      <c r="H6" s="31"/>
      <c r="I6" s="29"/>
      <c r="J6" s="31"/>
      <c r="K6" s="33"/>
      <c r="L6" s="33"/>
      <c r="M6" s="29"/>
      <c r="N6" s="29"/>
      <c r="O6" s="29"/>
      <c r="P6" s="29"/>
      <c r="Q6" s="31"/>
      <c r="R6" s="33"/>
      <c r="S6" s="33"/>
      <c r="T6" s="33"/>
      <c r="U6" s="29"/>
      <c r="V6" s="72"/>
      <c r="W6" s="72"/>
      <c r="X6" s="72"/>
      <c r="Y6" s="72"/>
      <c r="Z6" s="29"/>
      <c r="AA6" s="29"/>
      <c r="AB6" s="53"/>
    </row>
    <row r="7" spans="1:28" ht="25.5" customHeight="1" x14ac:dyDescent="0.2">
      <c r="A7" s="52" t="s">
        <v>19</v>
      </c>
      <c r="B7" s="30" t="s">
        <v>18</v>
      </c>
      <c r="C7" s="29">
        <v>139</v>
      </c>
      <c r="D7" s="30" t="s">
        <v>11</v>
      </c>
      <c r="E7" s="29">
        <v>47</v>
      </c>
      <c r="F7" s="29">
        <v>230.8</v>
      </c>
      <c r="G7" s="29">
        <v>10.4</v>
      </c>
      <c r="H7" s="31">
        <v>5604000</v>
      </c>
      <c r="I7" s="29">
        <v>36</v>
      </c>
      <c r="J7" s="31">
        <v>-125000</v>
      </c>
      <c r="K7" s="33">
        <v>66.400000000000006</v>
      </c>
      <c r="L7" s="33">
        <v>58.9</v>
      </c>
      <c r="M7" s="29">
        <v>1.1000000000000001</v>
      </c>
      <c r="N7" s="74">
        <v>221.4</v>
      </c>
      <c r="O7" s="29">
        <v>10.4</v>
      </c>
      <c r="P7" s="29">
        <v>37</v>
      </c>
      <c r="Q7" s="31">
        <v>-201000</v>
      </c>
      <c r="R7" s="33">
        <v>66.400000000000006</v>
      </c>
      <c r="S7" s="33">
        <v>56.7</v>
      </c>
      <c r="T7" s="33">
        <v>1.2</v>
      </c>
      <c r="U7" s="72" t="s">
        <v>14</v>
      </c>
      <c r="V7" s="72"/>
      <c r="W7" s="72"/>
      <c r="X7" s="72"/>
      <c r="Y7" s="72"/>
      <c r="Z7" s="29" t="s">
        <v>64</v>
      </c>
      <c r="AA7" s="29"/>
      <c r="AB7" s="53"/>
    </row>
    <row r="8" spans="1:28" ht="12.75" hidden="1" customHeight="1" x14ac:dyDescent="0.2">
      <c r="A8" s="52"/>
      <c r="B8" s="30"/>
      <c r="C8" s="29"/>
      <c r="D8" s="30"/>
      <c r="E8" s="29"/>
      <c r="F8" s="29"/>
      <c r="G8" s="29"/>
      <c r="H8" s="31"/>
      <c r="I8" s="29"/>
      <c r="J8" s="31"/>
      <c r="K8" s="33"/>
      <c r="L8" s="33"/>
      <c r="M8" s="29"/>
      <c r="N8" s="74"/>
      <c r="O8" s="32"/>
      <c r="P8" s="31"/>
      <c r="Q8" s="31"/>
      <c r="R8" s="33"/>
      <c r="S8" s="33"/>
      <c r="T8" s="33"/>
      <c r="U8" s="29"/>
      <c r="V8" s="72"/>
      <c r="W8" s="72"/>
      <c r="X8" s="72"/>
      <c r="Y8" s="72"/>
      <c r="Z8" s="29"/>
      <c r="AA8" s="29"/>
      <c r="AB8" s="53"/>
    </row>
    <row r="9" spans="1:28" ht="25.5" customHeight="1" x14ac:dyDescent="0.2">
      <c r="A9" s="52" t="s">
        <v>21</v>
      </c>
      <c r="B9" s="30" t="s">
        <v>18</v>
      </c>
      <c r="C9" s="29">
        <v>139</v>
      </c>
      <c r="D9" s="30" t="s">
        <v>10</v>
      </c>
      <c r="E9" s="29">
        <v>83</v>
      </c>
      <c r="F9" s="33">
        <v>124.5</v>
      </c>
      <c r="G9" s="29">
        <v>10.4</v>
      </c>
      <c r="H9" s="31">
        <v>2661000</v>
      </c>
      <c r="I9" s="29">
        <v>27</v>
      </c>
      <c r="J9" s="31">
        <v>78000</v>
      </c>
      <c r="K9" s="33">
        <v>39</v>
      </c>
      <c r="L9" s="33">
        <v>34.700000000000003</v>
      </c>
      <c r="M9" s="29">
        <v>1.1000000000000001</v>
      </c>
      <c r="N9" s="74">
        <v>105.2</v>
      </c>
      <c r="O9" s="32">
        <v>10.4</v>
      </c>
      <c r="P9" s="31">
        <v>27</v>
      </c>
      <c r="Q9" s="31">
        <v>56000</v>
      </c>
      <c r="R9" s="33">
        <v>39</v>
      </c>
      <c r="S9" s="33">
        <v>30.4</v>
      </c>
      <c r="T9" s="33">
        <v>1.3</v>
      </c>
      <c r="U9" s="72" t="s">
        <v>26</v>
      </c>
      <c r="V9" s="72"/>
      <c r="W9" s="72"/>
      <c r="X9" s="72"/>
      <c r="Y9" s="72"/>
      <c r="Z9" s="29" t="s">
        <v>63</v>
      </c>
      <c r="AA9" s="29"/>
      <c r="AB9" s="53"/>
    </row>
    <row r="10" spans="1:28" ht="12.75" hidden="1" customHeight="1" x14ac:dyDescent="0.2">
      <c r="A10" s="52"/>
      <c r="B10" s="30"/>
      <c r="C10" s="29"/>
      <c r="D10" s="30"/>
      <c r="E10" s="29"/>
      <c r="F10" s="33"/>
      <c r="G10" s="29"/>
      <c r="H10" s="31"/>
      <c r="I10" s="29"/>
      <c r="J10" s="31"/>
      <c r="K10" s="33"/>
      <c r="L10" s="33"/>
      <c r="M10" s="29"/>
      <c r="N10" s="74"/>
      <c r="O10" s="32"/>
      <c r="P10" s="31"/>
      <c r="Q10" s="31"/>
      <c r="R10" s="33"/>
      <c r="S10" s="33"/>
      <c r="T10" s="33"/>
      <c r="U10" s="29"/>
      <c r="V10" s="72"/>
      <c r="W10" s="72"/>
      <c r="X10" s="72"/>
      <c r="Y10" s="72"/>
      <c r="Z10" s="29"/>
      <c r="AA10" s="29"/>
      <c r="AB10" s="53"/>
    </row>
    <row r="11" spans="1:28" ht="25.5" customHeight="1" x14ac:dyDescent="0.2">
      <c r="A11" s="55" t="s">
        <v>20</v>
      </c>
      <c r="B11" s="56" t="s">
        <v>18</v>
      </c>
      <c r="C11" s="57">
        <v>139</v>
      </c>
      <c r="D11" s="56" t="s">
        <v>10</v>
      </c>
      <c r="E11" s="57">
        <v>94</v>
      </c>
      <c r="F11" s="57">
        <v>91.6</v>
      </c>
      <c r="G11" s="57">
        <v>9.3000000000000007</v>
      </c>
      <c r="H11" s="58">
        <v>1989000</v>
      </c>
      <c r="I11" s="57">
        <v>27</v>
      </c>
      <c r="J11" s="58">
        <v>445000</v>
      </c>
      <c r="K11" s="59">
        <v>47.3</v>
      </c>
      <c r="L11" s="59">
        <v>26.6</v>
      </c>
      <c r="M11" s="57">
        <v>1.8</v>
      </c>
      <c r="N11" s="75">
        <v>69.400000000000006</v>
      </c>
      <c r="O11" s="62">
        <v>9.3000000000000007</v>
      </c>
      <c r="P11" s="58">
        <v>28</v>
      </c>
      <c r="Q11" s="58">
        <v>408000</v>
      </c>
      <c r="R11" s="59">
        <v>47.3</v>
      </c>
      <c r="S11" s="59">
        <v>21.6</v>
      </c>
      <c r="T11" s="59">
        <v>2.2000000000000002</v>
      </c>
      <c r="U11" s="73" t="s">
        <v>13</v>
      </c>
      <c r="V11" s="73"/>
      <c r="W11" s="73"/>
      <c r="X11" s="73"/>
      <c r="Y11" s="73"/>
      <c r="Z11" s="57" t="s">
        <v>62</v>
      </c>
      <c r="AA11" s="57"/>
      <c r="AB11" s="65"/>
    </row>
    <row r="12" spans="1:28" ht="12.75" x14ac:dyDescent="0.2">
      <c r="A12" s="29"/>
      <c r="B12" s="30"/>
      <c r="C12" s="29"/>
      <c r="D12" s="30"/>
      <c r="E12" s="29"/>
      <c r="F12" s="29"/>
      <c r="G12" s="29"/>
      <c r="H12" s="31"/>
      <c r="I12" s="29"/>
      <c r="J12" s="31"/>
      <c r="K12" s="29"/>
      <c r="L12" s="29"/>
      <c r="M12" s="29"/>
      <c r="N12" s="31"/>
      <c r="O12" s="31"/>
      <c r="P12" s="29"/>
      <c r="Q12" s="31"/>
      <c r="R12" s="29"/>
      <c r="S12" s="29"/>
      <c r="T12" s="33"/>
      <c r="U12" s="29"/>
      <c r="V12" s="29"/>
      <c r="W12" s="29"/>
      <c r="X12" s="29"/>
      <c r="Y12" s="29"/>
    </row>
    <row r="13" spans="1:28" x14ac:dyDescent="0.2">
      <c r="A13" s="45" t="s">
        <v>1</v>
      </c>
      <c r="B13" s="124" t="s">
        <v>2</v>
      </c>
      <c r="C13" s="124"/>
      <c r="D13" s="125" t="s">
        <v>4</v>
      </c>
      <c r="E13" s="125"/>
      <c r="F13" s="48" t="s">
        <v>31</v>
      </c>
      <c r="G13" s="48"/>
      <c r="H13" s="47" t="s">
        <v>8</v>
      </c>
      <c r="I13" s="49" t="s">
        <v>77</v>
      </c>
      <c r="J13" s="50" t="s">
        <v>78</v>
      </c>
      <c r="K13" s="48" t="s">
        <v>74</v>
      </c>
      <c r="L13" s="48" t="s">
        <v>75</v>
      </c>
      <c r="M13" s="48" t="s">
        <v>76</v>
      </c>
      <c r="N13" s="48" t="s">
        <v>7</v>
      </c>
      <c r="O13" s="48"/>
      <c r="P13" s="49" t="s">
        <v>77</v>
      </c>
      <c r="Q13" s="50" t="s">
        <v>78</v>
      </c>
      <c r="R13" s="48" t="s">
        <v>74</v>
      </c>
      <c r="S13" s="48" t="s">
        <v>75</v>
      </c>
      <c r="T13" s="48" t="s">
        <v>76</v>
      </c>
      <c r="U13" s="48" t="s">
        <v>12</v>
      </c>
      <c r="V13" s="48"/>
      <c r="W13" s="48"/>
      <c r="X13" s="48"/>
      <c r="Y13" s="48"/>
      <c r="Z13" s="48"/>
      <c r="AA13" s="48"/>
      <c r="AB13" s="51"/>
    </row>
    <row r="14" spans="1:28" x14ac:dyDescent="0.2">
      <c r="A14" s="52"/>
      <c r="B14" s="29"/>
      <c r="C14" s="30" t="s">
        <v>3</v>
      </c>
      <c r="D14" s="29"/>
      <c r="E14" s="42" t="s">
        <v>3</v>
      </c>
      <c r="F14" s="29" t="s">
        <v>5</v>
      </c>
      <c r="G14" s="30" t="s">
        <v>6</v>
      </c>
      <c r="H14" s="43" t="s">
        <v>9</v>
      </c>
      <c r="I14" s="126">
        <v>21</v>
      </c>
      <c r="J14" s="126"/>
      <c r="K14" s="126"/>
      <c r="L14" s="126"/>
      <c r="M14" s="126"/>
      <c r="N14" s="29" t="s">
        <v>5</v>
      </c>
      <c r="O14" s="30" t="s">
        <v>6</v>
      </c>
      <c r="P14" s="126">
        <v>22</v>
      </c>
      <c r="Q14" s="126"/>
      <c r="R14" s="126"/>
      <c r="S14" s="126"/>
      <c r="T14" s="126"/>
      <c r="U14" s="29"/>
      <c r="V14" s="29"/>
      <c r="W14" s="29"/>
      <c r="X14" s="29"/>
      <c r="Y14" s="29"/>
      <c r="Z14" s="29"/>
      <c r="AA14" s="29"/>
      <c r="AB14" s="53"/>
    </row>
    <row r="15" spans="1:28" ht="12.75" hidden="1" x14ac:dyDescent="0.2">
      <c r="A15" s="52"/>
      <c r="B15" s="29"/>
      <c r="C15" s="30"/>
      <c r="D15" s="29"/>
      <c r="E15" s="30"/>
      <c r="F15" s="29"/>
      <c r="G15" s="30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53"/>
    </row>
    <row r="16" spans="1:28" ht="12.75" hidden="1" customHeight="1" x14ac:dyDescent="0.2">
      <c r="A16" s="52"/>
      <c r="B16" s="30"/>
      <c r="C16" s="29"/>
      <c r="D16" s="30"/>
      <c r="E16" s="29"/>
      <c r="F16" s="29"/>
      <c r="G16" s="29"/>
      <c r="H16" s="31"/>
      <c r="I16" s="29"/>
      <c r="J16" s="31"/>
      <c r="K16" s="63"/>
      <c r="L16" s="63"/>
      <c r="M16" s="29"/>
      <c r="N16" s="29"/>
      <c r="O16" s="29"/>
      <c r="P16" s="29"/>
      <c r="Q16" s="31"/>
      <c r="R16" s="33"/>
      <c r="S16" s="33"/>
      <c r="T16" s="33"/>
      <c r="U16" s="29"/>
      <c r="V16" s="72"/>
      <c r="W16" s="72"/>
      <c r="X16" s="72"/>
      <c r="Y16" s="72"/>
      <c r="Z16" s="29"/>
      <c r="AA16" s="29"/>
      <c r="AB16" s="53"/>
    </row>
    <row r="17" spans="1:28" ht="25.5" customHeight="1" x14ac:dyDescent="0.2">
      <c r="A17" s="52" t="s">
        <v>51</v>
      </c>
      <c r="B17" s="30" t="s">
        <v>18</v>
      </c>
      <c r="C17" s="29">
        <v>141</v>
      </c>
      <c r="D17" s="30" t="s">
        <v>60</v>
      </c>
      <c r="E17" s="29">
        <v>69</v>
      </c>
      <c r="F17" s="29">
        <v>341.9</v>
      </c>
      <c r="G17" s="29">
        <v>-6.2</v>
      </c>
      <c r="H17" s="31">
        <v>5851000</v>
      </c>
      <c r="I17" s="29">
        <v>30</v>
      </c>
      <c r="J17" s="31">
        <v>-1521000</v>
      </c>
      <c r="K17" s="63">
        <v>55.6</v>
      </c>
      <c r="L17" s="63">
        <v>73.7</v>
      </c>
      <c r="M17" s="29">
        <v>0.8</v>
      </c>
      <c r="N17" s="74">
        <v>319.39999999999998</v>
      </c>
      <c r="O17" s="29">
        <v>-6.2</v>
      </c>
      <c r="P17" s="29">
        <v>31</v>
      </c>
      <c r="Q17" s="31">
        <v>-1650000</v>
      </c>
      <c r="R17" s="33">
        <v>55.6</v>
      </c>
      <c r="S17" s="33">
        <v>68.599999999999994</v>
      </c>
      <c r="T17" s="33">
        <v>0.8</v>
      </c>
      <c r="U17" s="72" t="s">
        <v>14</v>
      </c>
      <c r="V17" s="72"/>
      <c r="W17" s="72"/>
      <c r="X17" s="72"/>
      <c r="Y17" s="72"/>
      <c r="Z17" s="29" t="s">
        <v>64</v>
      </c>
      <c r="AA17" s="29"/>
      <c r="AB17" s="53"/>
    </row>
    <row r="18" spans="1:28" ht="12.75" hidden="1" customHeight="1" x14ac:dyDescent="0.2">
      <c r="A18" s="52"/>
      <c r="B18" s="30"/>
      <c r="C18" s="29"/>
      <c r="D18" s="30"/>
      <c r="E18" s="29"/>
      <c r="F18" s="29"/>
      <c r="G18" s="29"/>
      <c r="H18" s="31"/>
      <c r="I18" s="29"/>
      <c r="J18" s="31"/>
      <c r="K18" s="63"/>
      <c r="L18" s="63"/>
      <c r="M18" s="29"/>
      <c r="N18" s="74"/>
      <c r="O18" s="32"/>
      <c r="P18" s="31"/>
      <c r="Q18" s="31"/>
      <c r="R18" s="33"/>
      <c r="S18" s="33"/>
      <c r="T18" s="33"/>
      <c r="U18" s="29"/>
      <c r="V18" s="72"/>
      <c r="W18" s="72"/>
      <c r="X18" s="72"/>
      <c r="Y18" s="72"/>
      <c r="Z18" s="29"/>
      <c r="AA18" s="29"/>
      <c r="AB18" s="53"/>
    </row>
    <row r="19" spans="1:28" ht="25.5" customHeight="1" x14ac:dyDescent="0.2">
      <c r="A19" s="52" t="s">
        <v>55</v>
      </c>
      <c r="B19" s="30" t="s">
        <v>18</v>
      </c>
      <c r="C19" s="28">
        <v>141</v>
      </c>
      <c r="D19" s="30" t="s">
        <v>10</v>
      </c>
      <c r="E19" s="28">
        <v>91</v>
      </c>
      <c r="F19" s="33">
        <v>276.2</v>
      </c>
      <c r="G19" s="28">
        <v>-15.6</v>
      </c>
      <c r="H19" s="31">
        <v>4836000</v>
      </c>
      <c r="I19" s="28">
        <v>34</v>
      </c>
      <c r="J19" s="31">
        <v>-1815000</v>
      </c>
      <c r="K19" s="63">
        <v>35.799999999999997</v>
      </c>
      <c r="L19" s="40">
        <v>53</v>
      </c>
      <c r="M19" s="28">
        <v>0.7</v>
      </c>
      <c r="N19" s="74">
        <v>247.4</v>
      </c>
      <c r="O19" s="32">
        <v>-15.6</v>
      </c>
      <c r="P19" s="31">
        <v>35</v>
      </c>
      <c r="Q19" s="31">
        <v>-1869000</v>
      </c>
      <c r="R19" s="33">
        <v>35.799999999999997</v>
      </c>
      <c r="S19" s="33">
        <v>46.5</v>
      </c>
      <c r="T19" s="33">
        <v>0.8</v>
      </c>
      <c r="U19" s="72" t="s">
        <v>61</v>
      </c>
      <c r="V19" s="72"/>
      <c r="W19" s="72"/>
      <c r="X19" s="72"/>
      <c r="Y19" s="72"/>
      <c r="Z19" s="29" t="s">
        <v>63</v>
      </c>
      <c r="AA19" s="29"/>
      <c r="AB19" s="53"/>
    </row>
    <row r="20" spans="1:28" ht="12.75" hidden="1" customHeight="1" x14ac:dyDescent="0.2">
      <c r="A20" s="52"/>
      <c r="B20" s="30"/>
      <c r="C20" s="28"/>
      <c r="D20" s="30"/>
      <c r="E20" s="28"/>
      <c r="F20" s="33"/>
      <c r="G20" s="28"/>
      <c r="H20" s="31"/>
      <c r="I20" s="28"/>
      <c r="J20" s="31"/>
      <c r="K20" s="63"/>
      <c r="L20" s="40"/>
      <c r="M20" s="28"/>
      <c r="N20" s="74"/>
      <c r="O20" s="32"/>
      <c r="P20" s="31"/>
      <c r="Q20" s="31"/>
      <c r="R20" s="33"/>
      <c r="S20" s="33"/>
      <c r="T20" s="33"/>
      <c r="U20" s="29"/>
      <c r="V20" s="72"/>
      <c r="W20" s="72"/>
      <c r="X20" s="72"/>
      <c r="Y20" s="72"/>
      <c r="Z20" s="29"/>
      <c r="AA20" s="29"/>
      <c r="AB20" s="53"/>
    </row>
    <row r="21" spans="1:28" ht="25.5" customHeight="1" x14ac:dyDescent="0.2">
      <c r="A21" s="55" t="s">
        <v>53</v>
      </c>
      <c r="B21" s="56" t="s">
        <v>18</v>
      </c>
      <c r="C21" s="57">
        <v>141</v>
      </c>
      <c r="D21" s="56" t="s">
        <v>10</v>
      </c>
      <c r="E21" s="57">
        <v>93</v>
      </c>
      <c r="F21" s="57">
        <v>214.5</v>
      </c>
      <c r="G21" s="57">
        <v>9.3000000000000007</v>
      </c>
      <c r="H21" s="58">
        <v>1602000</v>
      </c>
      <c r="I21" s="57">
        <v>13</v>
      </c>
      <c r="J21" s="58">
        <v>1402000</v>
      </c>
      <c r="K21" s="67">
        <v>37.1</v>
      </c>
      <c r="L21" s="67">
        <v>54.5</v>
      </c>
      <c r="M21" s="57">
        <v>0.7</v>
      </c>
      <c r="N21" s="75">
        <v>180.1</v>
      </c>
      <c r="O21" s="62">
        <v>9.3000000000000007</v>
      </c>
      <c r="P21" s="58">
        <v>14</v>
      </c>
      <c r="Q21" s="58">
        <v>1304000</v>
      </c>
      <c r="R21" s="59">
        <v>37.1</v>
      </c>
      <c r="S21" s="59">
        <v>46.7</v>
      </c>
      <c r="T21" s="59">
        <v>0.8</v>
      </c>
      <c r="U21" s="73" t="s">
        <v>13</v>
      </c>
      <c r="V21" s="73"/>
      <c r="W21" s="73"/>
      <c r="X21" s="73"/>
      <c r="Y21" s="73"/>
      <c r="Z21" s="57" t="s">
        <v>62</v>
      </c>
      <c r="AA21" s="57"/>
      <c r="AB21" s="65"/>
    </row>
    <row r="23" spans="1:28" ht="13.5" thickBot="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5" spans="1:28" ht="12.75" customHeight="1" x14ac:dyDescent="0.2"/>
    <row r="26" spans="1:28" ht="12.75" customHeight="1" x14ac:dyDescent="0.2">
      <c r="A26" s="45" t="s">
        <v>1</v>
      </c>
      <c r="B26" s="124" t="s">
        <v>2</v>
      </c>
      <c r="C26" s="124"/>
      <c r="D26" s="125" t="s">
        <v>4</v>
      </c>
      <c r="E26" s="125"/>
      <c r="F26" s="48" t="s">
        <v>31</v>
      </c>
      <c r="G26" s="48"/>
      <c r="H26" s="47" t="s">
        <v>8</v>
      </c>
      <c r="I26" s="49" t="s">
        <v>77</v>
      </c>
      <c r="J26" s="50" t="s">
        <v>78</v>
      </c>
      <c r="K26" s="48" t="s">
        <v>74</v>
      </c>
      <c r="L26" s="48" t="s">
        <v>75</v>
      </c>
      <c r="M26" s="48" t="s">
        <v>76</v>
      </c>
      <c r="N26" s="48" t="s">
        <v>7</v>
      </c>
      <c r="O26" s="48"/>
      <c r="P26" s="49" t="s">
        <v>77</v>
      </c>
      <c r="Q26" s="50" t="s">
        <v>78</v>
      </c>
      <c r="R26" s="48" t="s">
        <v>74</v>
      </c>
      <c r="S26" s="48" t="s">
        <v>75</v>
      </c>
      <c r="T26" s="48" t="s">
        <v>76</v>
      </c>
      <c r="U26" s="48" t="s">
        <v>12</v>
      </c>
      <c r="V26" s="48"/>
      <c r="W26" s="48"/>
      <c r="X26" s="48"/>
      <c r="Y26" s="48"/>
      <c r="Z26" s="48"/>
      <c r="AA26" s="48"/>
      <c r="AB26" s="51"/>
    </row>
    <row r="27" spans="1:28" ht="12.75" customHeight="1" x14ac:dyDescent="0.2">
      <c r="A27" s="52"/>
      <c r="B27" s="29"/>
      <c r="C27" s="30" t="s">
        <v>3</v>
      </c>
      <c r="D27" s="29"/>
      <c r="E27" s="42" t="s">
        <v>3</v>
      </c>
      <c r="F27" s="29" t="s">
        <v>5</v>
      </c>
      <c r="G27" s="30" t="s">
        <v>6</v>
      </c>
      <c r="H27" s="43" t="s">
        <v>9</v>
      </c>
      <c r="I27" s="126">
        <v>21</v>
      </c>
      <c r="J27" s="126"/>
      <c r="K27" s="126"/>
      <c r="L27" s="126"/>
      <c r="M27" s="126"/>
      <c r="N27" s="29" t="s">
        <v>5</v>
      </c>
      <c r="O27" s="30" t="s">
        <v>6</v>
      </c>
      <c r="P27" s="126">
        <v>22</v>
      </c>
      <c r="Q27" s="126"/>
      <c r="R27" s="126"/>
      <c r="S27" s="126"/>
      <c r="T27" s="126"/>
      <c r="U27" s="29"/>
      <c r="V27" s="29"/>
      <c r="W27" s="29"/>
      <c r="X27" s="29"/>
      <c r="Y27" s="29"/>
      <c r="Z27" s="29"/>
      <c r="AA27" s="29"/>
      <c r="AB27" s="53"/>
    </row>
    <row r="28" spans="1:28" ht="12.75" hidden="1" customHeight="1" x14ac:dyDescent="0.2">
      <c r="A28" s="52"/>
      <c r="B28" s="29"/>
      <c r="C28" s="30"/>
      <c r="D28" s="29"/>
      <c r="E28" s="30"/>
      <c r="F28" s="29"/>
      <c r="G28" s="30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53"/>
    </row>
    <row r="29" spans="1:28" ht="12.75" hidden="1" customHeight="1" x14ac:dyDescent="0.2">
      <c r="A29" s="52"/>
      <c r="B29" s="30"/>
      <c r="C29" s="29"/>
      <c r="D29" s="30"/>
      <c r="E29" s="29"/>
      <c r="F29" s="29"/>
      <c r="G29" s="29"/>
      <c r="H29" s="31"/>
      <c r="I29" s="29"/>
      <c r="J29" s="31"/>
      <c r="K29" s="33"/>
      <c r="L29" s="33"/>
      <c r="M29" s="29"/>
      <c r="N29" s="29"/>
      <c r="O29" s="29"/>
      <c r="P29" s="29"/>
      <c r="Q29" s="31"/>
      <c r="R29" s="33"/>
      <c r="S29" s="33"/>
      <c r="T29" s="33"/>
      <c r="U29" s="29"/>
      <c r="V29" s="34"/>
      <c r="W29" s="34"/>
      <c r="X29" s="34"/>
      <c r="Y29" s="34"/>
      <c r="Z29" s="29"/>
      <c r="AA29" s="29"/>
      <c r="AB29" s="53"/>
    </row>
    <row r="30" spans="1:28" ht="25.5" customHeight="1" x14ac:dyDescent="0.2">
      <c r="A30" s="52" t="s">
        <v>28</v>
      </c>
      <c r="B30" s="30" t="s">
        <v>32</v>
      </c>
      <c r="C30" s="29">
        <v>202</v>
      </c>
      <c r="D30" s="30" t="s">
        <v>11</v>
      </c>
      <c r="E30" s="29">
        <v>38</v>
      </c>
      <c r="F30" s="29">
        <v>31.7</v>
      </c>
      <c r="G30" s="29">
        <v>-2.1</v>
      </c>
      <c r="H30" s="31">
        <v>523000</v>
      </c>
      <c r="I30" s="29">
        <v>15</v>
      </c>
      <c r="J30" s="31">
        <v>267000</v>
      </c>
      <c r="K30" s="33">
        <v>30.5</v>
      </c>
      <c r="L30" s="33">
        <v>8.1</v>
      </c>
      <c r="M30" s="29">
        <v>3.8</v>
      </c>
      <c r="N30" s="74">
        <v>31.7</v>
      </c>
      <c r="O30" s="29">
        <v>-2.2000000000000002</v>
      </c>
      <c r="P30" s="29">
        <v>15</v>
      </c>
      <c r="Q30" s="31">
        <v>265000</v>
      </c>
      <c r="R30" s="33">
        <v>30.5</v>
      </c>
      <c r="S30" s="33">
        <v>8</v>
      </c>
      <c r="T30" s="33">
        <v>3.8</v>
      </c>
      <c r="U30" s="72" t="s">
        <v>14</v>
      </c>
      <c r="V30" s="72"/>
      <c r="W30" s="72"/>
      <c r="X30" s="72"/>
      <c r="Y30" s="72"/>
      <c r="Z30" s="29" t="s">
        <v>65</v>
      </c>
      <c r="AA30" s="29"/>
      <c r="AB30" s="53"/>
    </row>
    <row r="31" spans="1:28" ht="12.75" hidden="1" customHeight="1" x14ac:dyDescent="0.2">
      <c r="A31" s="52"/>
      <c r="B31" s="30"/>
      <c r="C31" s="29"/>
      <c r="D31" s="30"/>
      <c r="E31" s="29"/>
      <c r="F31" s="29"/>
      <c r="G31" s="29"/>
      <c r="H31" s="31"/>
      <c r="I31" s="29"/>
      <c r="J31" s="31"/>
      <c r="K31" s="33"/>
      <c r="L31" s="33"/>
      <c r="M31" s="29"/>
      <c r="N31" s="74"/>
      <c r="O31" s="32"/>
      <c r="P31" s="31"/>
      <c r="Q31" s="31"/>
      <c r="R31" s="33"/>
      <c r="S31" s="33"/>
      <c r="T31" s="33"/>
      <c r="U31" s="29"/>
      <c r="V31" s="34"/>
      <c r="W31" s="34"/>
      <c r="X31" s="34"/>
      <c r="Y31" s="34"/>
      <c r="Z31" s="29"/>
      <c r="AA31" s="29"/>
      <c r="AB31" s="53"/>
    </row>
    <row r="32" spans="1:28" ht="25.5" customHeight="1" x14ac:dyDescent="0.2">
      <c r="A32" s="55" t="s">
        <v>30</v>
      </c>
      <c r="B32" s="56" t="s">
        <v>32</v>
      </c>
      <c r="C32" s="57">
        <v>202</v>
      </c>
      <c r="D32" s="56" t="s">
        <v>10</v>
      </c>
      <c r="E32" s="57">
        <v>119</v>
      </c>
      <c r="F32" s="57">
        <v>31.7</v>
      </c>
      <c r="G32" s="57">
        <v>-6.7</v>
      </c>
      <c r="H32" s="58">
        <v>332000</v>
      </c>
      <c r="I32" s="57">
        <v>14</v>
      </c>
      <c r="J32" s="58">
        <v>185000</v>
      </c>
      <c r="K32" s="59">
        <v>17.100000000000001</v>
      </c>
      <c r="L32" s="59">
        <v>5.2</v>
      </c>
      <c r="M32" s="57">
        <v>3.3</v>
      </c>
      <c r="N32" s="75">
        <v>31.7</v>
      </c>
      <c r="O32" s="62">
        <v>-7.1</v>
      </c>
      <c r="P32" s="58">
        <v>14</v>
      </c>
      <c r="Q32" s="58">
        <v>176000</v>
      </c>
      <c r="R32" s="59">
        <v>17.100000000000001</v>
      </c>
      <c r="S32" s="59">
        <v>5</v>
      </c>
      <c r="T32" s="59">
        <v>3.4</v>
      </c>
      <c r="U32" s="73" t="s">
        <v>33</v>
      </c>
      <c r="V32" s="73"/>
      <c r="W32" s="73"/>
      <c r="X32" s="73"/>
      <c r="Y32" s="73"/>
      <c r="Z32" s="57" t="s">
        <v>62</v>
      </c>
      <c r="AA32" s="57"/>
      <c r="AB32" s="65"/>
    </row>
    <row r="33" spans="1:28" ht="12.75" x14ac:dyDescent="0.2">
      <c r="A33" s="29"/>
      <c r="B33" s="30"/>
      <c r="C33" s="29"/>
      <c r="D33" s="30"/>
      <c r="E33" s="29"/>
      <c r="F33" s="33"/>
      <c r="G33" s="29"/>
      <c r="H33" s="31"/>
      <c r="I33" s="29"/>
      <c r="J33" s="31"/>
      <c r="K33" s="29"/>
      <c r="L33" s="29"/>
      <c r="M33" s="29"/>
      <c r="N33" s="29"/>
      <c r="O33" s="32"/>
      <c r="P33" s="31"/>
      <c r="Q33" s="31"/>
      <c r="R33" s="29"/>
      <c r="S33" s="29"/>
      <c r="T33" s="33"/>
      <c r="U33" s="34"/>
      <c r="V33" s="34"/>
      <c r="W33" s="34"/>
      <c r="X33" s="34"/>
      <c r="Y33" s="34"/>
    </row>
    <row r="34" spans="1:28" ht="12.75" customHeight="1" x14ac:dyDescent="0.2">
      <c r="A34" s="45" t="s">
        <v>1</v>
      </c>
      <c r="B34" s="46" t="s">
        <v>2</v>
      </c>
      <c r="C34" s="46"/>
      <c r="D34" s="47" t="s">
        <v>4</v>
      </c>
      <c r="E34" s="47"/>
      <c r="F34" s="48" t="s">
        <v>49</v>
      </c>
      <c r="G34" s="48"/>
      <c r="H34" s="47" t="s">
        <v>8</v>
      </c>
      <c r="I34" s="49" t="s">
        <v>77</v>
      </c>
      <c r="J34" s="50" t="s">
        <v>78</v>
      </c>
      <c r="K34" s="48" t="s">
        <v>74</v>
      </c>
      <c r="L34" s="48" t="s">
        <v>75</v>
      </c>
      <c r="M34" s="48" t="s">
        <v>76</v>
      </c>
      <c r="N34" s="48" t="s">
        <v>7</v>
      </c>
      <c r="O34" s="48"/>
      <c r="P34" s="49" t="s">
        <v>77</v>
      </c>
      <c r="Q34" s="50" t="s">
        <v>78</v>
      </c>
      <c r="R34" s="48" t="s">
        <v>74</v>
      </c>
      <c r="S34" s="48" t="s">
        <v>75</v>
      </c>
      <c r="T34" s="48" t="s">
        <v>76</v>
      </c>
      <c r="U34" s="48" t="s">
        <v>12</v>
      </c>
      <c r="V34" s="48"/>
      <c r="W34" s="48"/>
      <c r="X34" s="48"/>
      <c r="Y34" s="48"/>
      <c r="Z34" s="48"/>
      <c r="AA34" s="48"/>
      <c r="AB34" s="51"/>
    </row>
    <row r="35" spans="1:28" x14ac:dyDescent="0.2">
      <c r="A35" s="52"/>
      <c r="B35" s="29"/>
      <c r="C35" s="30" t="s">
        <v>3</v>
      </c>
      <c r="D35" s="29"/>
      <c r="E35" s="42" t="s">
        <v>3</v>
      </c>
      <c r="F35" s="29" t="s">
        <v>5</v>
      </c>
      <c r="G35" s="30" t="s">
        <v>6</v>
      </c>
      <c r="H35" s="43" t="s">
        <v>9</v>
      </c>
      <c r="I35" s="126">
        <v>20</v>
      </c>
      <c r="J35" s="126"/>
      <c r="K35" s="126"/>
      <c r="L35" s="126"/>
      <c r="M35" s="126"/>
      <c r="N35" s="29" t="s">
        <v>5</v>
      </c>
      <c r="O35" s="30" t="s">
        <v>6</v>
      </c>
      <c r="P35" s="126">
        <v>22</v>
      </c>
      <c r="Q35" s="126"/>
      <c r="R35" s="126"/>
      <c r="S35" s="126"/>
      <c r="T35" s="126"/>
      <c r="U35" s="29"/>
      <c r="V35" s="29"/>
      <c r="W35" s="29"/>
      <c r="X35" s="29"/>
      <c r="Y35" s="29"/>
      <c r="Z35" s="29"/>
      <c r="AA35" s="29"/>
      <c r="AB35" s="53"/>
    </row>
    <row r="36" spans="1:28" ht="12.75" hidden="1" customHeight="1" x14ac:dyDescent="0.2">
      <c r="A36" s="52"/>
      <c r="B36" s="29"/>
      <c r="C36" s="30"/>
      <c r="D36" s="29"/>
      <c r="E36" s="30"/>
      <c r="F36" s="29"/>
      <c r="G36" s="30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53"/>
    </row>
    <row r="37" spans="1:28" ht="12.75" hidden="1" customHeight="1" x14ac:dyDescent="0.2">
      <c r="A37" s="52"/>
      <c r="B37" s="30"/>
      <c r="C37" s="29"/>
      <c r="D37" s="30"/>
      <c r="E37" s="29"/>
      <c r="F37" s="33"/>
      <c r="G37" s="29"/>
      <c r="H37" s="31"/>
      <c r="I37" s="29"/>
      <c r="J37" s="31"/>
      <c r="K37" s="33"/>
      <c r="L37" s="33"/>
      <c r="M37" s="33"/>
      <c r="N37" s="33"/>
      <c r="O37" s="29"/>
      <c r="P37" s="29"/>
      <c r="Q37" s="31"/>
      <c r="R37" s="33"/>
      <c r="S37" s="33"/>
      <c r="T37" s="33"/>
      <c r="U37" s="29"/>
      <c r="V37" s="34"/>
      <c r="W37" s="34"/>
      <c r="X37" s="34"/>
      <c r="Y37" s="34"/>
      <c r="Z37" s="29"/>
      <c r="AA37" s="29"/>
      <c r="AB37" s="53"/>
    </row>
    <row r="38" spans="1:28" ht="25.5" customHeight="1" x14ac:dyDescent="0.2">
      <c r="A38" s="52" t="s">
        <v>40</v>
      </c>
      <c r="B38" s="30" t="s">
        <v>43</v>
      </c>
      <c r="C38" s="29">
        <v>354</v>
      </c>
      <c r="D38" s="30" t="s">
        <v>11</v>
      </c>
      <c r="E38" s="29">
        <v>45</v>
      </c>
      <c r="F38" s="33">
        <v>51</v>
      </c>
      <c r="G38" s="29">
        <v>-1.3</v>
      </c>
      <c r="H38" s="31">
        <v>630000</v>
      </c>
      <c r="I38" s="29">
        <v>11</v>
      </c>
      <c r="J38" s="31">
        <v>474000</v>
      </c>
      <c r="K38" s="33">
        <v>28.8</v>
      </c>
      <c r="L38" s="33">
        <v>14.3</v>
      </c>
      <c r="M38" s="33">
        <v>2</v>
      </c>
      <c r="N38" s="76">
        <v>51</v>
      </c>
      <c r="O38" s="29">
        <v>-1.8</v>
      </c>
      <c r="P38" s="29">
        <v>11</v>
      </c>
      <c r="Q38" s="31">
        <v>456000</v>
      </c>
      <c r="R38" s="33">
        <v>28.8</v>
      </c>
      <c r="S38" s="33">
        <v>14</v>
      </c>
      <c r="T38" s="33">
        <v>2.1</v>
      </c>
      <c r="U38" s="72" t="s">
        <v>71</v>
      </c>
      <c r="V38" s="72"/>
      <c r="W38" s="72"/>
      <c r="X38" s="72"/>
      <c r="Y38" s="72"/>
      <c r="Z38" s="29" t="s">
        <v>65</v>
      </c>
      <c r="AA38" s="29"/>
      <c r="AB38" s="53"/>
    </row>
    <row r="39" spans="1:28" ht="12.75" hidden="1" customHeight="1" x14ac:dyDescent="0.2">
      <c r="A39" s="52"/>
      <c r="B39" s="30"/>
      <c r="C39" s="29"/>
      <c r="D39" s="30"/>
      <c r="E39" s="29"/>
      <c r="F39" s="33"/>
      <c r="G39" s="29"/>
      <c r="H39" s="31"/>
      <c r="I39" s="29"/>
      <c r="J39" s="31"/>
      <c r="K39" s="33"/>
      <c r="L39" s="33"/>
      <c r="M39" s="29"/>
      <c r="N39" s="76"/>
      <c r="O39" s="29"/>
      <c r="P39" s="29"/>
      <c r="Q39" s="31"/>
      <c r="R39" s="33"/>
      <c r="S39" s="33"/>
      <c r="T39" s="33"/>
      <c r="U39" s="29"/>
      <c r="V39" s="34"/>
      <c r="W39" s="34"/>
      <c r="X39" s="34"/>
      <c r="Y39" s="34"/>
      <c r="Z39" s="29"/>
      <c r="AA39" s="29"/>
      <c r="AB39" s="53"/>
    </row>
    <row r="40" spans="1:28" ht="25.5" customHeight="1" x14ac:dyDescent="0.2">
      <c r="A40" s="52" t="s">
        <v>42</v>
      </c>
      <c r="B40" s="30" t="s">
        <v>38</v>
      </c>
      <c r="C40" s="29">
        <v>256</v>
      </c>
      <c r="D40" s="30" t="s">
        <v>11</v>
      </c>
      <c r="E40" s="29">
        <v>49</v>
      </c>
      <c r="F40" s="29">
        <v>37.299999999999997</v>
      </c>
      <c r="G40" s="29">
        <v>-1.5</v>
      </c>
      <c r="H40" s="31">
        <v>592000</v>
      </c>
      <c r="I40" s="29">
        <v>15</v>
      </c>
      <c r="J40" s="31">
        <v>137000</v>
      </c>
      <c r="K40" s="41">
        <v>27</v>
      </c>
      <c r="L40" s="41">
        <v>10.1</v>
      </c>
      <c r="M40" s="29">
        <v>2.7</v>
      </c>
      <c r="N40" s="74">
        <v>37.299999999999997</v>
      </c>
      <c r="O40" s="32">
        <v>-2.1</v>
      </c>
      <c r="P40" s="31">
        <v>15</v>
      </c>
      <c r="Q40" s="31">
        <v>120000</v>
      </c>
      <c r="R40" s="33">
        <v>27</v>
      </c>
      <c r="S40" s="33">
        <v>9.8000000000000007</v>
      </c>
      <c r="T40" s="33">
        <v>2.8</v>
      </c>
      <c r="U40" s="72" t="s">
        <v>14</v>
      </c>
      <c r="V40" s="72"/>
      <c r="W40" s="72"/>
      <c r="X40" s="72"/>
      <c r="Y40" s="72"/>
      <c r="Z40" s="29" t="s">
        <v>79</v>
      </c>
      <c r="AA40" s="29"/>
      <c r="AB40" s="53"/>
    </row>
    <row r="41" spans="1:28" ht="12.75" hidden="1" customHeight="1" x14ac:dyDescent="0.2">
      <c r="A41" s="52"/>
      <c r="B41" s="30"/>
      <c r="C41" s="29"/>
      <c r="D41" s="30"/>
      <c r="E41" s="29"/>
      <c r="F41" s="29"/>
      <c r="G41" s="29"/>
      <c r="H41" s="31"/>
      <c r="I41" s="29"/>
      <c r="J41" s="31"/>
      <c r="K41" s="33"/>
      <c r="L41" s="33"/>
      <c r="M41" s="29"/>
      <c r="N41" s="74"/>
      <c r="O41" s="32"/>
      <c r="P41" s="31"/>
      <c r="Q41" s="31"/>
      <c r="R41" s="33"/>
      <c r="S41" s="33"/>
      <c r="T41" s="33"/>
      <c r="U41" s="29"/>
      <c r="V41" s="34"/>
      <c r="W41" s="34"/>
      <c r="X41" s="34"/>
      <c r="Y41" s="34"/>
      <c r="Z41" s="29"/>
      <c r="AA41" s="29"/>
      <c r="AB41" s="53"/>
    </row>
    <row r="42" spans="1:28" ht="25.5" customHeight="1" x14ac:dyDescent="0.2">
      <c r="A42" s="52" t="s">
        <v>70</v>
      </c>
      <c r="B42" s="30" t="s">
        <v>43</v>
      </c>
      <c r="C42" s="29">
        <v>354</v>
      </c>
      <c r="D42" s="30" t="s">
        <v>60</v>
      </c>
      <c r="E42" s="29">
        <v>81</v>
      </c>
      <c r="F42" s="33">
        <v>35.5</v>
      </c>
      <c r="G42" s="29">
        <v>3.4</v>
      </c>
      <c r="H42" s="31">
        <v>434000</v>
      </c>
      <c r="I42" s="29">
        <v>9</v>
      </c>
      <c r="J42" s="31">
        <v>533000</v>
      </c>
      <c r="K42" s="33">
        <v>14.4</v>
      </c>
      <c r="L42" s="33">
        <v>13.7</v>
      </c>
      <c r="M42" s="29">
        <v>1.1000000000000001</v>
      </c>
      <c r="N42" s="76">
        <v>33.700000000000003</v>
      </c>
      <c r="O42" s="29">
        <v>3.4</v>
      </c>
      <c r="P42" s="29">
        <v>9</v>
      </c>
      <c r="Q42" s="31">
        <v>490000</v>
      </c>
      <c r="R42" s="33">
        <v>14.4</v>
      </c>
      <c r="S42" s="33">
        <v>13.3</v>
      </c>
      <c r="T42" s="33">
        <v>1.1000000000000001</v>
      </c>
      <c r="U42" s="72" t="s">
        <v>72</v>
      </c>
      <c r="V42" s="72"/>
      <c r="W42" s="72"/>
      <c r="X42" s="72"/>
      <c r="Y42" s="72"/>
      <c r="Z42" s="29" t="s">
        <v>65</v>
      </c>
      <c r="AA42" s="29"/>
      <c r="AB42" s="53"/>
    </row>
    <row r="43" spans="1:28" ht="12.75" hidden="1" customHeight="1" x14ac:dyDescent="0.2">
      <c r="A43" s="52"/>
      <c r="B43" s="30"/>
      <c r="C43" s="29"/>
      <c r="D43" s="30"/>
      <c r="E43" s="29"/>
      <c r="F43" s="29"/>
      <c r="G43" s="29"/>
      <c r="H43" s="31"/>
      <c r="I43" s="29"/>
      <c r="J43" s="31"/>
      <c r="K43" s="41"/>
      <c r="L43" s="41"/>
      <c r="M43" s="29"/>
      <c r="N43" s="74"/>
      <c r="O43" s="32"/>
      <c r="P43" s="31"/>
      <c r="Q43" s="31"/>
      <c r="R43" s="33"/>
      <c r="S43" s="33"/>
      <c r="T43" s="33"/>
      <c r="U43" s="29"/>
      <c r="V43" s="34"/>
      <c r="W43" s="34"/>
      <c r="X43" s="34"/>
      <c r="Y43" s="34"/>
      <c r="Z43" s="29"/>
      <c r="AA43" s="29"/>
      <c r="AB43" s="53"/>
    </row>
    <row r="44" spans="1:28" ht="25.5" customHeight="1" x14ac:dyDescent="0.2">
      <c r="A44" s="55" t="s">
        <v>68</v>
      </c>
      <c r="B44" s="56" t="s">
        <v>38</v>
      </c>
      <c r="C44" s="57">
        <v>256</v>
      </c>
      <c r="D44" s="56" t="s">
        <v>60</v>
      </c>
      <c r="E44" s="57">
        <v>84</v>
      </c>
      <c r="F44" s="57">
        <v>21.2</v>
      </c>
      <c r="G44" s="57">
        <v>3.4</v>
      </c>
      <c r="H44" s="58">
        <v>396000</v>
      </c>
      <c r="I44" s="57">
        <v>13</v>
      </c>
      <c r="J44" s="58">
        <v>215000</v>
      </c>
      <c r="K44" s="69">
        <v>12.5</v>
      </c>
      <c r="L44" s="69">
        <v>9.5</v>
      </c>
      <c r="M44" s="57">
        <v>1.3</v>
      </c>
      <c r="N44" s="75">
        <v>19.2</v>
      </c>
      <c r="O44" s="62">
        <v>3.4</v>
      </c>
      <c r="P44" s="58">
        <v>14</v>
      </c>
      <c r="Q44" s="58">
        <v>169000</v>
      </c>
      <c r="R44" s="59">
        <v>12.5</v>
      </c>
      <c r="S44" s="59">
        <v>9</v>
      </c>
      <c r="T44" s="59">
        <v>1.4</v>
      </c>
      <c r="U44" s="73" t="s">
        <v>14</v>
      </c>
      <c r="V44" s="73"/>
      <c r="W44" s="73"/>
      <c r="X44" s="73"/>
      <c r="Y44" s="73"/>
      <c r="Z44" s="57" t="s">
        <v>79</v>
      </c>
      <c r="AA44" s="57"/>
      <c r="AB44" s="65"/>
    </row>
    <row r="46" spans="1:28" ht="13.5" thickBo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9" spans="1:20" ht="12.75" customHeight="1" x14ac:dyDescent="0.2">
      <c r="A49" s="45" t="s">
        <v>1</v>
      </c>
      <c r="B49" s="46" t="s">
        <v>2</v>
      </c>
      <c r="C49" s="46"/>
      <c r="D49" s="47" t="s">
        <v>4</v>
      </c>
      <c r="E49" s="47"/>
      <c r="F49" s="48" t="s">
        <v>7</v>
      </c>
      <c r="G49" s="48"/>
      <c r="H49" s="47" t="s">
        <v>8</v>
      </c>
      <c r="I49" s="49" t="s">
        <v>77</v>
      </c>
      <c r="J49" s="50" t="s">
        <v>78</v>
      </c>
      <c r="K49" s="48" t="s">
        <v>74</v>
      </c>
      <c r="L49" s="48" t="s">
        <v>75</v>
      </c>
      <c r="M49" s="48" t="s">
        <v>76</v>
      </c>
      <c r="N49" s="48" t="s">
        <v>12</v>
      </c>
      <c r="O49" s="48"/>
      <c r="P49" s="48"/>
      <c r="Q49" s="48"/>
      <c r="R49" s="48"/>
      <c r="S49" s="48"/>
      <c r="T49" s="51"/>
    </row>
    <row r="50" spans="1:20" x14ac:dyDescent="0.2">
      <c r="A50" s="52"/>
      <c r="B50" s="29"/>
      <c r="C50" s="30" t="s">
        <v>3</v>
      </c>
      <c r="D50" s="29"/>
      <c r="E50" s="42" t="s">
        <v>3</v>
      </c>
      <c r="F50" s="29" t="s">
        <v>5</v>
      </c>
      <c r="G50" s="30" t="s">
        <v>6</v>
      </c>
      <c r="H50" s="43" t="s">
        <v>9</v>
      </c>
      <c r="I50" s="126">
        <v>22</v>
      </c>
      <c r="J50" s="126"/>
      <c r="K50" s="126"/>
      <c r="L50" s="126"/>
      <c r="M50" s="126"/>
      <c r="N50" s="29"/>
      <c r="O50" s="29"/>
      <c r="P50" s="29"/>
      <c r="Q50" s="29"/>
      <c r="R50" s="29"/>
      <c r="S50" s="29"/>
      <c r="T50" s="53"/>
    </row>
    <row r="51" spans="1:20" ht="12.75" hidden="1" customHeight="1" x14ac:dyDescent="0.2">
      <c r="A51" s="52"/>
      <c r="B51" s="29"/>
      <c r="C51" s="30"/>
      <c r="D51" s="29"/>
      <c r="E51" s="30"/>
      <c r="F51" s="29"/>
      <c r="G51" s="30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53"/>
    </row>
    <row r="52" spans="1:20" ht="12.75" hidden="1" customHeight="1" x14ac:dyDescent="0.2">
      <c r="A52" s="52"/>
      <c r="B52" s="30"/>
      <c r="C52" s="29"/>
      <c r="D52" s="30"/>
      <c r="E52" s="29"/>
      <c r="F52" s="29"/>
      <c r="G52" s="29"/>
      <c r="H52" s="31"/>
      <c r="I52" s="29"/>
      <c r="J52" s="31"/>
      <c r="K52" s="33"/>
      <c r="L52" s="33"/>
      <c r="M52" s="33"/>
      <c r="N52" s="29"/>
      <c r="O52" s="34"/>
      <c r="P52" s="34"/>
      <c r="Q52" s="34"/>
      <c r="R52" s="29"/>
      <c r="S52" s="34"/>
      <c r="T52" s="54"/>
    </row>
    <row r="53" spans="1:20" ht="25.5" customHeight="1" x14ac:dyDescent="0.2">
      <c r="A53" s="52" t="s">
        <v>57</v>
      </c>
      <c r="B53" s="30" t="s">
        <v>32</v>
      </c>
      <c r="C53" s="29">
        <v>220</v>
      </c>
      <c r="D53" s="30" t="s">
        <v>60</v>
      </c>
      <c r="E53" s="29">
        <v>91</v>
      </c>
      <c r="F53" s="74">
        <v>51.4</v>
      </c>
      <c r="G53" s="29">
        <v>3.8</v>
      </c>
      <c r="H53" s="31">
        <v>1611000</v>
      </c>
      <c r="I53" s="29">
        <v>41</v>
      </c>
      <c r="J53" s="31">
        <v>-74000</v>
      </c>
      <c r="K53" s="33">
        <v>14.7</v>
      </c>
      <c r="L53" s="33">
        <v>14</v>
      </c>
      <c r="M53" s="33">
        <v>1</v>
      </c>
      <c r="N53" s="72" t="s">
        <v>14</v>
      </c>
      <c r="O53" s="72"/>
      <c r="P53" s="72"/>
      <c r="Q53" s="72"/>
      <c r="R53" s="29" t="s">
        <v>65</v>
      </c>
      <c r="S53" s="34"/>
      <c r="T53" s="54"/>
    </row>
    <row r="54" spans="1:20" ht="12.75" hidden="1" customHeight="1" x14ac:dyDescent="0.2">
      <c r="A54" s="52"/>
      <c r="B54" s="30"/>
      <c r="C54" s="29"/>
      <c r="D54" s="30"/>
      <c r="E54" s="29"/>
      <c r="F54" s="74"/>
      <c r="G54" s="29"/>
      <c r="H54" s="31"/>
      <c r="I54" s="29"/>
      <c r="J54" s="31"/>
      <c r="K54" s="33"/>
      <c r="L54" s="33"/>
      <c r="M54" s="29"/>
      <c r="N54" s="29"/>
      <c r="O54" s="34"/>
      <c r="P54" s="34"/>
      <c r="Q54" s="34"/>
      <c r="R54" s="29"/>
      <c r="S54" s="34"/>
      <c r="T54" s="54"/>
    </row>
    <row r="55" spans="1:20" ht="25.5" customHeight="1" x14ac:dyDescent="0.2">
      <c r="A55" s="55" t="s">
        <v>59</v>
      </c>
      <c r="B55" s="56" t="s">
        <v>32</v>
      </c>
      <c r="C55" s="57">
        <v>220</v>
      </c>
      <c r="D55" s="56" t="s">
        <v>10</v>
      </c>
      <c r="E55" s="57">
        <v>104</v>
      </c>
      <c r="F55" s="75">
        <v>45.1</v>
      </c>
      <c r="G55" s="57">
        <v>3.8</v>
      </c>
      <c r="H55" s="58">
        <v>809000</v>
      </c>
      <c r="I55" s="57">
        <v>23</v>
      </c>
      <c r="J55" s="58">
        <v>14000</v>
      </c>
      <c r="K55" s="59">
        <v>10.9</v>
      </c>
      <c r="L55" s="59">
        <v>12.6</v>
      </c>
      <c r="M55" s="57">
        <v>0.9</v>
      </c>
      <c r="N55" s="73" t="s">
        <v>66</v>
      </c>
      <c r="O55" s="73"/>
      <c r="P55" s="73"/>
      <c r="Q55" s="73"/>
      <c r="R55" s="57" t="s">
        <v>62</v>
      </c>
      <c r="S55" s="60"/>
      <c r="T55" s="61"/>
    </row>
    <row r="56" spans="1:20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</row>
    <row r="57" spans="1:20" ht="12.75" customHeight="1" x14ac:dyDescent="0.2">
      <c r="A57" s="45" t="s">
        <v>1</v>
      </c>
      <c r="B57" s="46" t="s">
        <v>2</v>
      </c>
      <c r="C57" s="46"/>
      <c r="D57" s="47" t="s">
        <v>4</v>
      </c>
      <c r="E57" s="47"/>
      <c r="F57" s="48" t="s">
        <v>7</v>
      </c>
      <c r="G57" s="48"/>
      <c r="H57" s="47" t="s">
        <v>8</v>
      </c>
      <c r="I57" s="49" t="s">
        <v>77</v>
      </c>
      <c r="J57" s="50" t="s">
        <v>78</v>
      </c>
      <c r="K57" s="48" t="s">
        <v>74</v>
      </c>
      <c r="L57" s="48" t="s">
        <v>75</v>
      </c>
      <c r="M57" s="48" t="s">
        <v>76</v>
      </c>
      <c r="N57" s="48" t="s">
        <v>12</v>
      </c>
      <c r="O57" s="48"/>
      <c r="P57" s="48"/>
      <c r="Q57" s="48"/>
      <c r="R57" s="48"/>
      <c r="S57" s="48"/>
      <c r="T57" s="51"/>
    </row>
    <row r="58" spans="1:20" x14ac:dyDescent="0.2">
      <c r="A58" s="52"/>
      <c r="B58" s="29"/>
      <c r="C58" s="30" t="s">
        <v>3</v>
      </c>
      <c r="D58" s="29"/>
      <c r="E58" s="42" t="s">
        <v>3</v>
      </c>
      <c r="F58" s="29" t="s">
        <v>5</v>
      </c>
      <c r="G58" s="30" t="s">
        <v>6</v>
      </c>
      <c r="H58" s="43" t="s">
        <v>9</v>
      </c>
      <c r="I58" s="126">
        <v>22</v>
      </c>
      <c r="J58" s="126"/>
      <c r="K58" s="126"/>
      <c r="L58" s="126"/>
      <c r="M58" s="126"/>
      <c r="N58" s="29"/>
      <c r="O58" s="29"/>
      <c r="P58" s="29"/>
      <c r="Q58" s="29"/>
      <c r="R58" s="29"/>
      <c r="S58" s="29"/>
      <c r="T58" s="53"/>
    </row>
    <row r="59" spans="1:20" ht="12.75" hidden="1" customHeight="1" x14ac:dyDescent="0.2">
      <c r="A59" s="52"/>
      <c r="B59" s="29"/>
      <c r="C59" s="30"/>
      <c r="D59" s="29"/>
      <c r="E59" s="30"/>
      <c r="F59" s="29"/>
      <c r="G59" s="30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53"/>
    </row>
    <row r="60" spans="1:20" ht="12.75" hidden="1" customHeight="1" x14ac:dyDescent="0.2">
      <c r="A60" s="52"/>
      <c r="B60" s="30"/>
      <c r="C60" s="29"/>
      <c r="D60" s="30"/>
      <c r="E60" s="29"/>
      <c r="F60" s="29"/>
      <c r="G60" s="29"/>
      <c r="H60" s="31"/>
      <c r="I60" s="29"/>
      <c r="J60" s="31"/>
      <c r="K60" s="32"/>
      <c r="L60" s="32"/>
      <c r="M60" s="29"/>
      <c r="N60" s="29"/>
      <c r="O60" s="34"/>
      <c r="P60" s="34"/>
      <c r="Q60" s="34"/>
      <c r="R60" s="29"/>
      <c r="S60" s="34"/>
      <c r="T60" s="54"/>
    </row>
    <row r="61" spans="1:20" ht="25.5" customHeight="1" x14ac:dyDescent="0.2">
      <c r="A61" s="52" t="s">
        <v>34</v>
      </c>
      <c r="B61" s="30" t="s">
        <v>38</v>
      </c>
      <c r="C61" s="29">
        <v>281</v>
      </c>
      <c r="D61" s="30" t="s">
        <v>11</v>
      </c>
      <c r="E61" s="29">
        <v>78</v>
      </c>
      <c r="F61" s="74">
        <v>59.2</v>
      </c>
      <c r="G61" s="29">
        <v>2.1</v>
      </c>
      <c r="H61" s="31">
        <v>766000</v>
      </c>
      <c r="I61" s="29">
        <v>18</v>
      </c>
      <c r="J61" s="31">
        <v>255000</v>
      </c>
      <c r="K61" s="32">
        <v>10.3</v>
      </c>
      <c r="L61" s="32">
        <v>14.7</v>
      </c>
      <c r="M61" s="29">
        <v>0.7</v>
      </c>
      <c r="N61" s="72" t="s">
        <v>14</v>
      </c>
      <c r="O61" s="72"/>
      <c r="P61" s="72"/>
      <c r="Q61" s="72"/>
      <c r="R61" s="29" t="s">
        <v>65</v>
      </c>
      <c r="S61" s="34"/>
      <c r="T61" s="54"/>
    </row>
    <row r="62" spans="1:20" ht="12.75" hidden="1" customHeight="1" x14ac:dyDescent="0.2">
      <c r="A62" s="52"/>
      <c r="B62" s="30"/>
      <c r="C62" s="29"/>
      <c r="D62" s="30"/>
      <c r="E62" s="29"/>
      <c r="F62" s="74"/>
      <c r="G62" s="29"/>
      <c r="H62" s="31"/>
      <c r="I62" s="29"/>
      <c r="J62" s="31"/>
      <c r="K62" s="32"/>
      <c r="L62" s="32"/>
      <c r="M62" s="29"/>
      <c r="N62" s="29"/>
      <c r="O62" s="34"/>
      <c r="P62" s="34"/>
      <c r="Q62" s="34"/>
      <c r="R62" s="29"/>
      <c r="S62" s="34"/>
      <c r="T62" s="54"/>
    </row>
    <row r="63" spans="1:20" ht="25.5" customHeight="1" x14ac:dyDescent="0.2">
      <c r="A63" s="55" t="s">
        <v>36</v>
      </c>
      <c r="B63" s="56" t="s">
        <v>38</v>
      </c>
      <c r="C63" s="57">
        <v>281</v>
      </c>
      <c r="D63" s="56" t="s">
        <v>10</v>
      </c>
      <c r="E63" s="57">
        <v>106</v>
      </c>
      <c r="F63" s="75">
        <v>50.1</v>
      </c>
      <c r="G63" s="57">
        <v>2.1</v>
      </c>
      <c r="H63" s="58">
        <v>469000</v>
      </c>
      <c r="I63" s="57">
        <v>13</v>
      </c>
      <c r="J63" s="58">
        <v>286000</v>
      </c>
      <c r="K63" s="62">
        <v>5.8</v>
      </c>
      <c r="L63" s="62">
        <v>12.7</v>
      </c>
      <c r="M63" s="57">
        <v>0.5</v>
      </c>
      <c r="N63" s="73" t="s">
        <v>13</v>
      </c>
      <c r="O63" s="73"/>
      <c r="P63" s="73"/>
      <c r="Q63" s="73"/>
      <c r="R63" s="57" t="s">
        <v>73</v>
      </c>
      <c r="S63" s="60"/>
      <c r="T63" s="61"/>
    </row>
    <row r="64" spans="1:20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</row>
    <row r="65" spans="1:20" x14ac:dyDescent="0.2">
      <c r="A65" s="45" t="s">
        <v>1</v>
      </c>
      <c r="B65" s="46" t="s">
        <v>2</v>
      </c>
      <c r="C65" s="46"/>
      <c r="D65" s="47" t="s">
        <v>4</v>
      </c>
      <c r="E65" s="47"/>
      <c r="F65" s="48" t="s">
        <v>7</v>
      </c>
      <c r="G65" s="48"/>
      <c r="H65" s="47" t="s">
        <v>8</v>
      </c>
      <c r="I65" s="49" t="s">
        <v>77</v>
      </c>
      <c r="J65" s="50" t="s">
        <v>78</v>
      </c>
      <c r="K65" s="48" t="s">
        <v>74</v>
      </c>
      <c r="L65" s="48" t="s">
        <v>75</v>
      </c>
      <c r="M65" s="48" t="s">
        <v>76</v>
      </c>
      <c r="N65" s="48" t="s">
        <v>12</v>
      </c>
      <c r="O65" s="48"/>
      <c r="P65" s="48"/>
      <c r="Q65" s="48"/>
      <c r="R65" s="48"/>
      <c r="S65" s="48"/>
      <c r="T65" s="51"/>
    </row>
    <row r="66" spans="1:20" x14ac:dyDescent="0.2">
      <c r="A66" s="52"/>
      <c r="B66" s="29"/>
      <c r="C66" s="30" t="s">
        <v>3</v>
      </c>
      <c r="D66" s="29"/>
      <c r="E66" s="42" t="s">
        <v>3</v>
      </c>
      <c r="F66" s="29" t="s">
        <v>5</v>
      </c>
      <c r="G66" s="30" t="s">
        <v>6</v>
      </c>
      <c r="H66" s="43" t="s">
        <v>9</v>
      </c>
      <c r="I66" s="126">
        <v>22</v>
      </c>
      <c r="J66" s="126"/>
      <c r="K66" s="126"/>
      <c r="L66" s="126"/>
      <c r="M66" s="126"/>
      <c r="N66" s="29"/>
      <c r="O66" s="29"/>
      <c r="P66" s="29"/>
      <c r="Q66" s="29"/>
      <c r="R66" s="29"/>
      <c r="S66" s="29"/>
      <c r="T66" s="53"/>
    </row>
    <row r="67" spans="1:20" ht="12.75" hidden="1" x14ac:dyDescent="0.2">
      <c r="A67" s="52"/>
      <c r="B67" s="29"/>
      <c r="C67" s="30"/>
      <c r="D67" s="29"/>
      <c r="E67" s="30"/>
      <c r="F67" s="29"/>
      <c r="G67" s="30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53"/>
    </row>
    <row r="68" spans="1:20" ht="12.75" hidden="1" customHeight="1" x14ac:dyDescent="0.2">
      <c r="A68" s="52"/>
      <c r="B68" s="30"/>
      <c r="C68" s="29"/>
      <c r="D68" s="30"/>
      <c r="E68" s="29"/>
      <c r="F68" s="29"/>
      <c r="G68" s="29"/>
      <c r="H68" s="31"/>
      <c r="I68" s="29"/>
      <c r="J68" s="31"/>
      <c r="K68" s="32"/>
      <c r="L68" s="32"/>
      <c r="M68" s="29"/>
      <c r="N68" s="29"/>
      <c r="O68" s="34"/>
      <c r="P68" s="34"/>
      <c r="Q68" s="34"/>
      <c r="R68" s="29"/>
      <c r="S68" s="34"/>
      <c r="T68" s="54"/>
    </row>
    <row r="69" spans="1:20" ht="25.5" customHeight="1" x14ac:dyDescent="0.2">
      <c r="A69" s="52" t="s">
        <v>45</v>
      </c>
      <c r="B69" s="30" t="s">
        <v>38</v>
      </c>
      <c r="C69" s="29">
        <v>220</v>
      </c>
      <c r="D69" s="30" t="s">
        <v>10</v>
      </c>
      <c r="E69" s="29">
        <v>120</v>
      </c>
      <c r="F69" s="74">
        <v>173.9</v>
      </c>
      <c r="G69" s="29">
        <v>14.5</v>
      </c>
      <c r="H69" s="31">
        <v>2945000</v>
      </c>
      <c r="I69" s="29">
        <v>21</v>
      </c>
      <c r="J69" s="31">
        <v>131000</v>
      </c>
      <c r="K69" s="32">
        <v>52</v>
      </c>
      <c r="L69" s="32">
        <v>48.5</v>
      </c>
      <c r="M69" s="29">
        <v>1.1000000000000001</v>
      </c>
      <c r="N69" s="72" t="s">
        <v>14</v>
      </c>
      <c r="O69" s="72"/>
      <c r="P69" s="72"/>
      <c r="Q69" s="72"/>
      <c r="R69" s="29" t="s">
        <v>65</v>
      </c>
      <c r="S69" s="34"/>
      <c r="T69" s="54"/>
    </row>
    <row r="70" spans="1:20" ht="12.75" hidden="1" customHeight="1" x14ac:dyDescent="0.2">
      <c r="A70" s="52"/>
      <c r="B70" s="30"/>
      <c r="C70" s="29"/>
      <c r="D70" s="30"/>
      <c r="E70" s="29"/>
      <c r="F70" s="74"/>
      <c r="G70" s="29"/>
      <c r="H70" s="31"/>
      <c r="I70" s="29"/>
      <c r="J70" s="31"/>
      <c r="K70" s="32"/>
      <c r="L70" s="32"/>
      <c r="M70" s="33"/>
      <c r="N70" s="29"/>
      <c r="O70" s="34"/>
      <c r="P70" s="34"/>
      <c r="Q70" s="34"/>
      <c r="R70" s="29"/>
      <c r="S70" s="34"/>
      <c r="T70" s="54"/>
    </row>
    <row r="71" spans="1:20" ht="25.5" customHeight="1" x14ac:dyDescent="0.2">
      <c r="A71" s="55" t="s">
        <v>48</v>
      </c>
      <c r="B71" s="56" t="s">
        <v>38</v>
      </c>
      <c r="C71" s="57">
        <v>220</v>
      </c>
      <c r="D71" s="56" t="s">
        <v>10</v>
      </c>
      <c r="E71" s="57">
        <v>128</v>
      </c>
      <c r="F71" s="75">
        <v>154.80000000000001</v>
      </c>
      <c r="G71" s="57">
        <v>14.5</v>
      </c>
      <c r="H71" s="58">
        <v>1617000</v>
      </c>
      <c r="I71" s="57">
        <v>13</v>
      </c>
      <c r="J71" s="58">
        <v>631000</v>
      </c>
      <c r="K71" s="62">
        <v>45</v>
      </c>
      <c r="L71" s="62">
        <v>44.2</v>
      </c>
      <c r="M71" s="59">
        <v>1</v>
      </c>
      <c r="N71" s="73" t="s">
        <v>46</v>
      </c>
      <c r="O71" s="73"/>
      <c r="P71" s="73"/>
      <c r="Q71" s="73"/>
      <c r="R71" s="57" t="s">
        <v>63</v>
      </c>
      <c r="S71" s="60"/>
      <c r="T71" s="61"/>
    </row>
    <row r="72" spans="1:20" x14ac:dyDescent="0.2">
      <c r="R72" s="34"/>
    </row>
  </sheetData>
  <sortState ref="A69:N71">
    <sortCondition descending="1" ref="F69"/>
  </sortState>
  <mergeCells count="17">
    <mergeCell ref="B3:C3"/>
    <mergeCell ref="D3:E3"/>
    <mergeCell ref="I4:M4"/>
    <mergeCell ref="P4:T4"/>
    <mergeCell ref="B26:C26"/>
    <mergeCell ref="D26:E26"/>
    <mergeCell ref="I27:M27"/>
    <mergeCell ref="P27:T27"/>
    <mergeCell ref="B13:C13"/>
    <mergeCell ref="D13:E13"/>
    <mergeCell ref="I14:M14"/>
    <mergeCell ref="P14:T14"/>
    <mergeCell ref="I66:M66"/>
    <mergeCell ref="I50:M50"/>
    <mergeCell ref="I58:M58"/>
    <mergeCell ref="I35:M35"/>
    <mergeCell ref="P35:T3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AC78"/>
  <sheetViews>
    <sheetView zoomScale="80" zoomScaleNormal="80" workbookViewId="0">
      <pane xSplit="1" topLeftCell="B1" activePane="topRight" state="frozen"/>
      <selection pane="topRight" activeCell="E3" sqref="E3:U6"/>
    </sheetView>
  </sheetViews>
  <sheetFormatPr defaultRowHeight="12.6" x14ac:dyDescent="0.2"/>
  <cols>
    <col min="1" max="1" width="38" customWidth="1"/>
    <col min="2" max="2" width="7.6328125" customWidth="1"/>
    <col min="3" max="3" width="4.26953125" customWidth="1"/>
    <col min="5" max="5" width="4.453125" customWidth="1"/>
    <col min="7" max="7" width="10.90625" hidden="1" customWidth="1"/>
    <col min="8" max="8" width="8.26953125" hidden="1" customWidth="1"/>
    <col min="9" max="9" width="11.6328125" customWidth="1"/>
    <col min="10" max="10" width="4.453125" hidden="1" customWidth="1"/>
    <col min="11" max="11" width="12.36328125" hidden="1" customWidth="1"/>
    <col min="12" max="12" width="15" hidden="1" customWidth="1"/>
    <col min="13" max="13" width="9.453125" hidden="1" customWidth="1"/>
    <col min="14" max="14" width="9.36328125" hidden="1" customWidth="1"/>
    <col min="15" max="15" width="10.36328125" customWidth="1"/>
    <col min="16" max="16" width="8.453125" customWidth="1"/>
    <col min="17" max="17" width="4.453125" bestFit="1" customWidth="1"/>
    <col min="18" max="18" width="11.90625" customWidth="1"/>
    <col min="19" max="19" width="14.36328125" customWidth="1"/>
    <col min="20" max="20" width="10.08984375" customWidth="1"/>
    <col min="21" max="21" width="9.36328125" customWidth="1"/>
    <col min="22" max="22" width="40.08984375" customWidth="1"/>
    <col min="23" max="23" width="30.90625" customWidth="1"/>
    <col min="26" max="26" width="11" customWidth="1"/>
    <col min="29" max="29" width="10.90625" customWidth="1"/>
  </cols>
  <sheetData>
    <row r="1" spans="1:28" x14ac:dyDescent="0.2">
      <c r="A1" t="s">
        <v>0</v>
      </c>
      <c r="C1" t="s">
        <v>86</v>
      </c>
    </row>
    <row r="3" spans="1:28" x14ac:dyDescent="0.2">
      <c r="A3" s="45" t="s">
        <v>1</v>
      </c>
      <c r="B3" s="85" t="s">
        <v>82</v>
      </c>
      <c r="C3" s="124" t="s">
        <v>2</v>
      </c>
      <c r="D3" s="124"/>
      <c r="E3" s="134" t="s">
        <v>4</v>
      </c>
      <c r="F3" s="134"/>
      <c r="G3" s="135" t="s">
        <v>31</v>
      </c>
      <c r="H3" s="135"/>
      <c r="I3" s="136" t="s">
        <v>8</v>
      </c>
      <c r="J3" s="137" t="s">
        <v>77</v>
      </c>
      <c r="K3" s="135" t="s">
        <v>78</v>
      </c>
      <c r="L3" s="135" t="s">
        <v>74</v>
      </c>
      <c r="M3" s="135" t="s">
        <v>75</v>
      </c>
      <c r="N3" s="138" t="s">
        <v>76</v>
      </c>
      <c r="O3" s="135" t="s">
        <v>7</v>
      </c>
      <c r="P3" s="135"/>
      <c r="Q3" s="137" t="s">
        <v>77</v>
      </c>
      <c r="R3" s="135" t="s">
        <v>78</v>
      </c>
      <c r="S3" s="135" t="s">
        <v>74</v>
      </c>
      <c r="T3" s="135" t="s">
        <v>75</v>
      </c>
      <c r="U3" s="135" t="s">
        <v>76</v>
      </c>
      <c r="V3" s="48" t="s">
        <v>12</v>
      </c>
      <c r="W3" s="48"/>
      <c r="X3" s="51"/>
      <c r="Y3" s="29"/>
      <c r="Z3" s="29"/>
      <c r="AA3" s="29"/>
      <c r="AB3" s="29"/>
    </row>
    <row r="4" spans="1:28" x14ac:dyDescent="0.2">
      <c r="A4" s="52"/>
      <c r="B4" s="29"/>
      <c r="C4" s="29"/>
      <c r="D4" s="29"/>
      <c r="E4" s="139"/>
      <c r="F4" s="139"/>
      <c r="G4" s="139" t="s">
        <v>5</v>
      </c>
      <c r="H4" s="140" t="s">
        <v>6</v>
      </c>
      <c r="I4" s="139" t="s">
        <v>9</v>
      </c>
      <c r="J4" s="141" t="s">
        <v>80</v>
      </c>
      <c r="K4" s="141"/>
      <c r="L4" s="141"/>
      <c r="M4" s="141"/>
      <c r="N4" s="142"/>
      <c r="O4" s="139" t="s">
        <v>5</v>
      </c>
      <c r="P4" s="140" t="s">
        <v>6</v>
      </c>
      <c r="Q4" s="141" t="s">
        <v>81</v>
      </c>
      <c r="R4" s="141"/>
      <c r="S4" s="141"/>
      <c r="T4" s="141"/>
      <c r="U4" s="141"/>
      <c r="V4" s="29"/>
      <c r="W4" s="29"/>
      <c r="X4" s="53"/>
      <c r="Y4" s="29"/>
      <c r="Z4" s="29"/>
      <c r="AA4" s="29"/>
      <c r="AB4" s="29"/>
    </row>
    <row r="5" spans="1:28" hidden="1" x14ac:dyDescent="0.2">
      <c r="A5" s="52"/>
      <c r="B5" s="29"/>
      <c r="C5" s="29"/>
      <c r="D5" s="84"/>
      <c r="E5" s="139"/>
      <c r="F5" s="140"/>
      <c r="G5" s="139"/>
      <c r="H5" s="140"/>
      <c r="I5" s="139"/>
      <c r="J5" s="139"/>
      <c r="K5" s="139"/>
      <c r="L5" s="139"/>
      <c r="M5" s="139"/>
      <c r="N5" s="143"/>
      <c r="O5" s="139"/>
      <c r="P5" s="139"/>
      <c r="Q5" s="139"/>
      <c r="R5" s="139"/>
      <c r="S5" s="139"/>
      <c r="T5" s="139"/>
      <c r="U5" s="139"/>
      <c r="V5" s="29"/>
      <c r="W5" s="29"/>
      <c r="X5" s="53"/>
      <c r="Y5" s="29"/>
      <c r="Z5" s="29"/>
      <c r="AA5" s="29"/>
      <c r="AB5" s="29"/>
    </row>
    <row r="6" spans="1:28" x14ac:dyDescent="0.2">
      <c r="A6" s="52"/>
      <c r="B6" s="84" t="s">
        <v>83</v>
      </c>
      <c r="C6" s="29"/>
      <c r="D6" s="84" t="s">
        <v>3</v>
      </c>
      <c r="E6" s="139"/>
      <c r="F6" s="140" t="s">
        <v>3</v>
      </c>
      <c r="G6" s="139" t="s">
        <v>3</v>
      </c>
      <c r="H6" s="140" t="s">
        <v>3</v>
      </c>
      <c r="I6" s="139" t="s">
        <v>84</v>
      </c>
      <c r="J6" s="139"/>
      <c r="K6" s="144" t="s">
        <v>84</v>
      </c>
      <c r="L6" s="145" t="s">
        <v>85</v>
      </c>
      <c r="M6" s="145"/>
      <c r="N6" s="143"/>
      <c r="O6" s="139" t="s">
        <v>3</v>
      </c>
      <c r="P6" s="139" t="s">
        <v>3</v>
      </c>
      <c r="Q6" s="139"/>
      <c r="R6" s="139" t="s">
        <v>84</v>
      </c>
      <c r="S6" s="145" t="s">
        <v>85</v>
      </c>
      <c r="T6" s="145"/>
      <c r="U6" s="139"/>
      <c r="V6" s="29"/>
      <c r="W6" s="29"/>
      <c r="X6" s="53"/>
      <c r="Y6" s="29"/>
      <c r="Z6" s="29"/>
      <c r="AA6" s="29"/>
      <c r="AB6" s="29"/>
    </row>
    <row r="7" spans="1:28" ht="12.75" hidden="1" customHeight="1" x14ac:dyDescent="0.2">
      <c r="A7" s="52"/>
      <c r="B7" s="29"/>
      <c r="C7" s="84"/>
      <c r="D7" s="29"/>
      <c r="E7" s="84"/>
      <c r="F7" s="29"/>
      <c r="G7" s="29"/>
      <c r="H7" s="29"/>
      <c r="I7" s="31"/>
      <c r="J7" s="29"/>
      <c r="K7" s="31"/>
      <c r="L7" s="33"/>
      <c r="M7" s="33"/>
      <c r="N7" s="102"/>
      <c r="O7" s="29"/>
      <c r="P7" s="29"/>
      <c r="Q7" s="29"/>
      <c r="R7" s="31"/>
      <c r="S7" s="33"/>
      <c r="T7" s="33"/>
      <c r="U7" s="33"/>
      <c r="V7" s="29"/>
      <c r="W7" s="72"/>
      <c r="X7" s="53"/>
      <c r="Y7" s="72"/>
      <c r="Z7" s="72"/>
      <c r="AA7" s="29"/>
      <c r="AB7" s="29"/>
    </row>
    <row r="8" spans="1:28" ht="25.5" customHeight="1" x14ac:dyDescent="0.2">
      <c r="A8" s="52" t="s">
        <v>55</v>
      </c>
      <c r="B8" s="29">
        <v>3300</v>
      </c>
      <c r="C8" s="84" t="s">
        <v>18</v>
      </c>
      <c r="D8" s="28">
        <v>141</v>
      </c>
      <c r="E8" s="84" t="s">
        <v>10</v>
      </c>
      <c r="F8" s="28">
        <v>91</v>
      </c>
      <c r="G8" s="33">
        <f>276.2/B8*1000</f>
        <v>83.696969696969703</v>
      </c>
      <c r="H8" s="41">
        <f>-15.6/B8*1000</f>
        <v>-4.7272727272727275</v>
      </c>
      <c r="I8" s="31">
        <f>4836000/B8</f>
        <v>1465.4545454545455</v>
      </c>
      <c r="J8" s="28">
        <v>34</v>
      </c>
      <c r="K8" s="31">
        <f>-1815000/B8</f>
        <v>-550</v>
      </c>
      <c r="L8" s="63">
        <f>35.8/B8*1000</f>
        <v>10.848484848484848</v>
      </c>
      <c r="M8" s="40">
        <f>53/B8*1000</f>
        <v>16.060606060606059</v>
      </c>
      <c r="N8" s="116">
        <v>0.7</v>
      </c>
      <c r="O8" s="41">
        <f>247.4/B8*1000</f>
        <v>74.969696969696983</v>
      </c>
      <c r="P8" s="33">
        <f>-15.6/B8*1000</f>
        <v>-4.7272727272727275</v>
      </c>
      <c r="Q8" s="31">
        <v>35</v>
      </c>
      <c r="R8" s="36">
        <f>-1869000/B8</f>
        <v>-566.36363636363637</v>
      </c>
      <c r="S8" s="76">
        <f>35.8/B8*1000</f>
        <v>10.848484848484848</v>
      </c>
      <c r="T8" s="41">
        <f>46.5/B8*1000</f>
        <v>14.090909090909092</v>
      </c>
      <c r="U8" s="33">
        <v>0.8</v>
      </c>
      <c r="V8" s="34" t="s">
        <v>61</v>
      </c>
      <c r="W8" s="29" t="s">
        <v>62</v>
      </c>
      <c r="X8" s="53"/>
      <c r="Y8" s="72"/>
      <c r="Z8" s="72"/>
      <c r="AA8" s="29"/>
      <c r="AB8" s="29"/>
    </row>
    <row r="9" spans="1:28" ht="12.75" hidden="1" customHeight="1" x14ac:dyDescent="0.2">
      <c r="A9" s="52"/>
      <c r="B9" s="29"/>
      <c r="C9" s="84"/>
      <c r="D9" s="29"/>
      <c r="E9" s="84"/>
      <c r="F9" s="29"/>
      <c r="G9" s="33"/>
      <c r="H9" s="33"/>
      <c r="I9" s="31"/>
      <c r="J9" s="29"/>
      <c r="K9" s="31"/>
      <c r="L9" s="33"/>
      <c r="M9" s="33"/>
      <c r="N9" s="102"/>
      <c r="O9" s="41"/>
      <c r="P9" s="33"/>
      <c r="Q9" s="31"/>
      <c r="R9" s="36"/>
      <c r="S9" s="76"/>
      <c r="T9" s="41"/>
      <c r="U9" s="33"/>
      <c r="V9" s="29"/>
      <c r="W9" s="29"/>
      <c r="X9" s="53"/>
      <c r="Y9" s="72"/>
      <c r="Z9" s="72"/>
      <c r="AA9" s="29"/>
      <c r="AB9" s="29"/>
    </row>
    <row r="10" spans="1:28" ht="25.5" customHeight="1" x14ac:dyDescent="0.2">
      <c r="A10" s="52" t="s">
        <v>53</v>
      </c>
      <c r="B10" s="29">
        <v>3300</v>
      </c>
      <c r="C10" s="84" t="s">
        <v>18</v>
      </c>
      <c r="D10" s="29">
        <v>141</v>
      </c>
      <c r="E10" s="84" t="s">
        <v>10</v>
      </c>
      <c r="F10" s="29">
        <v>93</v>
      </c>
      <c r="G10" s="33">
        <f>214.5/B10*1000</f>
        <v>65</v>
      </c>
      <c r="H10" s="33">
        <f>9.3/B10*1000</f>
        <v>2.8181818181818183</v>
      </c>
      <c r="I10" s="31">
        <f>1602000/B10</f>
        <v>485.45454545454544</v>
      </c>
      <c r="J10" s="29">
        <v>13</v>
      </c>
      <c r="K10" s="31">
        <f>1402000/B10</f>
        <v>424.84848484848487</v>
      </c>
      <c r="L10" s="63">
        <f>37.1/B10*1000</f>
        <v>11.242424242424242</v>
      </c>
      <c r="M10" s="63">
        <f>54.5/B10*1000</f>
        <v>16.515151515151516</v>
      </c>
      <c r="N10" s="102">
        <v>0.7</v>
      </c>
      <c r="O10" s="41">
        <f>180.1/B10*1000</f>
        <v>54.575757575757578</v>
      </c>
      <c r="P10" s="33">
        <f>9.3/B10*1000</f>
        <v>2.8181818181818183</v>
      </c>
      <c r="Q10" s="31">
        <v>14</v>
      </c>
      <c r="R10" s="36">
        <f>1304000/B10</f>
        <v>395.15151515151513</v>
      </c>
      <c r="S10" s="76">
        <f>37.1/B10*1000</f>
        <v>11.242424242424242</v>
      </c>
      <c r="T10" s="41">
        <f>46.7/B10*1000</f>
        <v>14.151515151515152</v>
      </c>
      <c r="U10" s="33">
        <v>0.8</v>
      </c>
      <c r="V10" s="34" t="s">
        <v>13</v>
      </c>
      <c r="W10" s="29" t="s">
        <v>63</v>
      </c>
      <c r="X10" s="53"/>
      <c r="Y10" s="72"/>
      <c r="Z10" s="72"/>
      <c r="AA10" s="29"/>
      <c r="AB10" s="29"/>
    </row>
    <row r="11" spans="1:28" ht="12.75" hidden="1" customHeight="1" x14ac:dyDescent="0.2">
      <c r="A11" s="52"/>
      <c r="B11" s="29"/>
      <c r="C11" s="84"/>
      <c r="D11" s="29"/>
      <c r="E11" s="84"/>
      <c r="F11" s="29"/>
      <c r="G11" s="33"/>
      <c r="H11" s="33"/>
      <c r="I11" s="31"/>
      <c r="J11" s="29"/>
      <c r="K11" s="31"/>
      <c r="L11" s="33"/>
      <c r="M11" s="33"/>
      <c r="N11" s="102"/>
      <c r="O11" s="41"/>
      <c r="P11" s="33"/>
      <c r="Q11" s="31"/>
      <c r="R11" s="36"/>
      <c r="S11" s="76"/>
      <c r="T11" s="41"/>
      <c r="U11" s="33"/>
      <c r="V11" s="29"/>
      <c r="W11" s="29"/>
      <c r="X11" s="53"/>
      <c r="Y11" s="72"/>
      <c r="Z11" s="72"/>
      <c r="AA11" s="29"/>
      <c r="AB11" s="29"/>
    </row>
    <row r="12" spans="1:28" ht="25.5" customHeight="1" x14ac:dyDescent="0.2">
      <c r="A12" s="55" t="s">
        <v>51</v>
      </c>
      <c r="B12" s="66">
        <v>3300</v>
      </c>
      <c r="C12" s="56" t="s">
        <v>18</v>
      </c>
      <c r="D12" s="57">
        <v>141</v>
      </c>
      <c r="E12" s="56" t="s">
        <v>60</v>
      </c>
      <c r="F12" s="57">
        <v>69</v>
      </c>
      <c r="G12" s="59">
        <f>341.9/B12*1000</f>
        <v>103.60606060606061</v>
      </c>
      <c r="H12" s="59">
        <f>-6.2/B12*1000</f>
        <v>-1.8787878787878789</v>
      </c>
      <c r="I12" s="58">
        <f>5851000/B12</f>
        <v>1773.030303030303</v>
      </c>
      <c r="J12" s="57">
        <v>30</v>
      </c>
      <c r="K12" s="58">
        <f>-1521000/B12</f>
        <v>-460.90909090909093</v>
      </c>
      <c r="L12" s="67">
        <f>55.6/B12*1000</f>
        <v>16.848484848484848</v>
      </c>
      <c r="M12" s="67">
        <f>73.7/B12*1000</f>
        <v>22.333333333333332</v>
      </c>
      <c r="N12" s="103">
        <v>0.8</v>
      </c>
      <c r="O12" s="69">
        <f>319.4/B12*1000</f>
        <v>96.787878787878782</v>
      </c>
      <c r="P12" s="59">
        <f>-6.2/B12*1000</f>
        <v>-1.8787878787878789</v>
      </c>
      <c r="Q12" s="57">
        <v>31</v>
      </c>
      <c r="R12" s="100">
        <f>-1650000/B12</f>
        <v>-500</v>
      </c>
      <c r="S12" s="77">
        <f>55.6/B12*1000</f>
        <v>16.848484848484848</v>
      </c>
      <c r="T12" s="69">
        <f>68.6/B12*1000</f>
        <v>20.787878787878785</v>
      </c>
      <c r="U12" s="59">
        <v>0.8</v>
      </c>
      <c r="V12" s="113" t="s">
        <v>14</v>
      </c>
      <c r="W12" s="29" t="s">
        <v>65</v>
      </c>
      <c r="X12" s="65"/>
      <c r="Y12" s="72"/>
      <c r="Z12" s="72"/>
      <c r="AA12" s="29"/>
      <c r="AB12" s="29"/>
    </row>
    <row r="13" spans="1:28" ht="25.5" customHeight="1" x14ac:dyDescent="0.2">
      <c r="A13" s="45" t="s">
        <v>21</v>
      </c>
      <c r="B13" s="48">
        <v>1980</v>
      </c>
      <c r="C13" s="85" t="s">
        <v>18</v>
      </c>
      <c r="D13" s="48">
        <v>139</v>
      </c>
      <c r="E13" s="85" t="s">
        <v>10</v>
      </c>
      <c r="F13" s="48">
        <v>83</v>
      </c>
      <c r="G13" s="97">
        <f>114.6/B13*1000</f>
        <v>57.878787878787875</v>
      </c>
      <c r="H13" s="97">
        <f>10.4/B13*1000</f>
        <v>5.2525252525252526</v>
      </c>
      <c r="I13" s="93">
        <f>2661000/B13</f>
        <v>1343.939393939394</v>
      </c>
      <c r="J13" s="48">
        <v>28</v>
      </c>
      <c r="K13" s="93">
        <f>-14000/B13</f>
        <v>-7.0707070707070709</v>
      </c>
      <c r="L13" s="97">
        <f>39/B13*1000</f>
        <v>19.696969696969695</v>
      </c>
      <c r="M13" s="97">
        <f>32.5/B13*1000</f>
        <v>16.414141414141415</v>
      </c>
      <c r="N13" s="101">
        <v>1.2</v>
      </c>
      <c r="O13" s="106">
        <f>96.4/B13*1000</f>
        <v>48.686868686868685</v>
      </c>
      <c r="P13" s="97">
        <f>10.4/B13*1000</f>
        <v>5.2525252525252526</v>
      </c>
      <c r="Q13" s="93">
        <v>29</v>
      </c>
      <c r="R13" s="99">
        <f>-36000/B13</f>
        <v>-18.181818181818183</v>
      </c>
      <c r="S13" s="114">
        <f>39/B13*1000</f>
        <v>19.696969696969695</v>
      </c>
      <c r="T13" s="106">
        <f>28.4/B13*1000</f>
        <v>14.343434343434343</v>
      </c>
      <c r="U13" s="97">
        <v>1.4</v>
      </c>
      <c r="V13" s="98" t="s">
        <v>26</v>
      </c>
      <c r="W13" s="48" t="s">
        <v>62</v>
      </c>
      <c r="X13" s="51"/>
      <c r="Y13" s="72"/>
      <c r="Z13" s="72"/>
      <c r="AA13" s="29"/>
      <c r="AB13" s="29"/>
    </row>
    <row r="14" spans="1:28" ht="25.5" customHeight="1" x14ac:dyDescent="0.2">
      <c r="A14" s="52" t="s">
        <v>20</v>
      </c>
      <c r="B14" s="29">
        <v>1980</v>
      </c>
      <c r="C14" s="84" t="s">
        <v>18</v>
      </c>
      <c r="D14" s="29">
        <v>139</v>
      </c>
      <c r="E14" s="84" t="s">
        <v>10</v>
      </c>
      <c r="F14" s="29">
        <v>94</v>
      </c>
      <c r="G14" s="33">
        <f>84.6/B14*1000</f>
        <v>42.727272727272727</v>
      </c>
      <c r="H14" s="33">
        <f>9.3/B14*1000</f>
        <v>4.6969696969696981</v>
      </c>
      <c r="I14" s="31">
        <f>1989000/B14</f>
        <v>1004.5454545454545</v>
      </c>
      <c r="J14" s="29">
        <v>28</v>
      </c>
      <c r="K14" s="31">
        <f>384000/B14</f>
        <v>193.93939393939394</v>
      </c>
      <c r="L14" s="33">
        <f>47.3/B14*1000</f>
        <v>23.888888888888886</v>
      </c>
      <c r="M14" s="33">
        <f>25/B14*1000</f>
        <v>12.626262626262626</v>
      </c>
      <c r="N14" s="102">
        <v>1.9</v>
      </c>
      <c r="O14" s="41">
        <f>63.5/B14*1000</f>
        <v>32.070707070707066</v>
      </c>
      <c r="P14" s="33">
        <f>9.3/B14*1000</f>
        <v>4.6969696969696981</v>
      </c>
      <c r="Q14" s="31">
        <v>29</v>
      </c>
      <c r="R14" s="36">
        <f>347000/B14</f>
        <v>175.25252525252526</v>
      </c>
      <c r="S14" s="76">
        <f>47.3/B14*1000</f>
        <v>23.888888888888886</v>
      </c>
      <c r="T14" s="41">
        <f>20.2/B14*1000</f>
        <v>10.202020202020202</v>
      </c>
      <c r="U14" s="33">
        <v>2.2999999999999998</v>
      </c>
      <c r="V14" s="34" t="s">
        <v>13</v>
      </c>
      <c r="W14" s="29" t="s">
        <v>63</v>
      </c>
      <c r="X14" s="53"/>
      <c r="Y14" s="83"/>
      <c r="Z14" s="83"/>
      <c r="AA14" s="29"/>
      <c r="AB14" s="29"/>
    </row>
    <row r="15" spans="1:28" ht="25.5" customHeight="1" x14ac:dyDescent="0.2">
      <c r="A15" s="55" t="s">
        <v>36</v>
      </c>
      <c r="B15" s="57">
        <v>216</v>
      </c>
      <c r="C15" s="56" t="s">
        <v>38</v>
      </c>
      <c r="D15" s="57">
        <v>282</v>
      </c>
      <c r="E15" s="56" t="s">
        <v>10</v>
      </c>
      <c r="F15" s="57">
        <v>106</v>
      </c>
      <c r="G15" s="59">
        <f>45.8/B15*1000</f>
        <v>212.03703703703701</v>
      </c>
      <c r="H15" s="59">
        <f>2.1/B15*1000</f>
        <v>9.7222222222222232</v>
      </c>
      <c r="I15" s="58">
        <f>469000/B15</f>
        <v>2171.2962962962961</v>
      </c>
      <c r="J15" s="57">
        <v>14</v>
      </c>
      <c r="K15" s="100">
        <f>244000/B15</f>
        <v>1129.6296296296296</v>
      </c>
      <c r="L15" s="62">
        <f>5.8/B15*1000</f>
        <v>26.851851851851851</v>
      </c>
      <c r="M15" s="62">
        <f>11.7/B15*1000</f>
        <v>54.166666666666664</v>
      </c>
      <c r="N15" s="103">
        <v>0.5</v>
      </c>
      <c r="O15" s="69">
        <f>43.8/B15*1000</f>
        <v>202.77777777777774</v>
      </c>
      <c r="P15" s="59">
        <f>2.1/B15*1000</f>
        <v>9.7222222222222232</v>
      </c>
      <c r="Q15" s="57">
        <v>14</v>
      </c>
      <c r="R15" s="100">
        <f>242000/B15</f>
        <v>1120.3703703703704</v>
      </c>
      <c r="S15" s="79">
        <f>5.8/B15*1000</f>
        <v>26.851851851851851</v>
      </c>
      <c r="T15" s="117">
        <f>11.2/B15*1000</f>
        <v>51.851851851851848</v>
      </c>
      <c r="U15" s="57">
        <v>0.5</v>
      </c>
      <c r="V15" s="60" t="s">
        <v>13</v>
      </c>
      <c r="W15" s="57" t="s">
        <v>73</v>
      </c>
      <c r="X15" s="65"/>
      <c r="Y15" s="72"/>
      <c r="Z15" s="72"/>
      <c r="AA15" s="29"/>
      <c r="AB15" s="29"/>
    </row>
    <row r="16" spans="1:28" ht="25.5" customHeight="1" x14ac:dyDescent="0.2">
      <c r="A16" s="45" t="s">
        <v>48</v>
      </c>
      <c r="B16" s="48">
        <v>1525</v>
      </c>
      <c r="C16" s="85" t="s">
        <v>38</v>
      </c>
      <c r="D16" s="48">
        <v>220</v>
      </c>
      <c r="E16" s="85" t="s">
        <v>10</v>
      </c>
      <c r="F16" s="48">
        <v>128</v>
      </c>
      <c r="G16" s="97">
        <f>143.2/B16*1000</f>
        <v>93.901639344262293</v>
      </c>
      <c r="H16" s="97">
        <f>14.5/B16*1000</f>
        <v>9.5081967213114762</v>
      </c>
      <c r="I16" s="93">
        <f>1617000/B16</f>
        <v>1060.327868852459</v>
      </c>
      <c r="J16" s="48">
        <v>14</v>
      </c>
      <c r="K16" s="99">
        <f>520000/B16</f>
        <v>340.98360655737707</v>
      </c>
      <c r="L16" s="95">
        <f>45/B16*1000</f>
        <v>29.508196721311478</v>
      </c>
      <c r="M16" s="95">
        <f>41.5/B16*1000</f>
        <v>27.21311475409836</v>
      </c>
      <c r="N16" s="110">
        <v>1.1000000000000001</v>
      </c>
      <c r="O16" s="106">
        <f>120/B16*1000</f>
        <v>78.688524590163937</v>
      </c>
      <c r="P16" s="97">
        <f>14.5/B16*1000</f>
        <v>9.5081967213114762</v>
      </c>
      <c r="Q16" s="48">
        <v>14</v>
      </c>
      <c r="R16" s="99">
        <f>505000/B16</f>
        <v>331.14754098360658</v>
      </c>
      <c r="S16" s="115">
        <f>45/B16*1000</f>
        <v>29.508196721311478</v>
      </c>
      <c r="T16" s="118">
        <f>36.3/B16*1000</f>
        <v>23.803278688524589</v>
      </c>
      <c r="U16" s="97">
        <v>1.2</v>
      </c>
      <c r="V16" s="98" t="s">
        <v>46</v>
      </c>
      <c r="W16" s="48" t="s">
        <v>63</v>
      </c>
      <c r="X16" s="51"/>
      <c r="Y16" s="72"/>
      <c r="Z16" s="72"/>
      <c r="AA16" s="29"/>
      <c r="AB16" s="29"/>
    </row>
    <row r="17" spans="1:29" ht="25.5" customHeight="1" x14ac:dyDescent="0.2">
      <c r="A17" s="55" t="s">
        <v>59</v>
      </c>
      <c r="B17" s="57">
        <v>334</v>
      </c>
      <c r="C17" s="56" t="s">
        <v>32</v>
      </c>
      <c r="D17" s="57">
        <v>220</v>
      </c>
      <c r="E17" s="56" t="s">
        <v>10</v>
      </c>
      <c r="F17" s="57">
        <v>104</v>
      </c>
      <c r="G17" s="59">
        <f>41.2/B17*1000</f>
        <v>123.35329341317366</v>
      </c>
      <c r="H17" s="59">
        <f>3.8/B17*1000</f>
        <v>11.377245508982035</v>
      </c>
      <c r="I17" s="58">
        <f>809000/B17</f>
        <v>2422.1556886227545</v>
      </c>
      <c r="J17" s="57">
        <v>24</v>
      </c>
      <c r="K17" s="100">
        <f>-22000/B17</f>
        <v>-65.868263473053887</v>
      </c>
      <c r="L17" s="59">
        <f>10.9/B17*1000</f>
        <v>32.634730538922156</v>
      </c>
      <c r="M17" s="59">
        <f>11.7/B17*1000</f>
        <v>35.029940119760475</v>
      </c>
      <c r="N17" s="103">
        <v>0.9</v>
      </c>
      <c r="O17" s="69">
        <f>38.6/B17*1000</f>
        <v>115.56886227544911</v>
      </c>
      <c r="P17" s="59">
        <f>3.8/B17*1000</f>
        <v>11.377245508982035</v>
      </c>
      <c r="Q17" s="57">
        <v>24</v>
      </c>
      <c r="R17" s="100">
        <f>-27000/B17</f>
        <v>-80.838323353293418</v>
      </c>
      <c r="S17" s="77">
        <f>10.9/B17*1000</f>
        <v>32.634730538922156</v>
      </c>
      <c r="T17" s="69">
        <f>11.1/B17*1000</f>
        <v>33.23353293413173</v>
      </c>
      <c r="U17" s="57">
        <v>1</v>
      </c>
      <c r="V17" s="60" t="s">
        <v>66</v>
      </c>
      <c r="W17" s="57" t="s">
        <v>62</v>
      </c>
      <c r="X17" s="65"/>
      <c r="Y17" s="72"/>
      <c r="Z17" s="72"/>
      <c r="AA17" s="29"/>
      <c r="AB17" s="29"/>
    </row>
    <row r="18" spans="1:29" ht="25.5" customHeight="1" x14ac:dyDescent="0.2">
      <c r="A18" s="45" t="s">
        <v>19</v>
      </c>
      <c r="B18" s="48">
        <v>1980</v>
      </c>
      <c r="C18" s="85" t="s">
        <v>18</v>
      </c>
      <c r="D18" s="48">
        <v>139</v>
      </c>
      <c r="E18" s="85" t="s">
        <v>11</v>
      </c>
      <c r="F18" s="48">
        <v>47</v>
      </c>
      <c r="G18" s="97">
        <f>211.5/B18*1000</f>
        <v>106.81818181818181</v>
      </c>
      <c r="H18" s="97">
        <f>10.4/B18*1000</f>
        <v>5.2525252525252526</v>
      </c>
      <c r="I18" s="93">
        <f>5604000/B18</f>
        <v>2830.3030303030305</v>
      </c>
      <c r="J18" s="48">
        <v>38</v>
      </c>
      <c r="K18" s="93">
        <f>-279000/B18</f>
        <v>-140.90909090909091</v>
      </c>
      <c r="L18" s="97">
        <f>66.4/B18*1000</f>
        <v>33.535353535353536</v>
      </c>
      <c r="M18" s="97">
        <f>54.5/B18*1000</f>
        <v>27.525252525252526</v>
      </c>
      <c r="N18" s="101">
        <v>1.2</v>
      </c>
      <c r="O18" s="106">
        <f>202.7/B18*1000</f>
        <v>102.37373737373737</v>
      </c>
      <c r="P18" s="97">
        <f>10.4/B18*1000</f>
        <v>5.2525252525252526</v>
      </c>
      <c r="Q18" s="48">
        <v>39</v>
      </c>
      <c r="R18" s="99">
        <f>-355000/B18</f>
        <v>-179.2929292929293</v>
      </c>
      <c r="S18" s="114">
        <f>66.4/B18*1000</f>
        <v>33.535353535353536</v>
      </c>
      <c r="T18" s="106">
        <f>52.5/B18*1000</f>
        <v>26.515151515151516</v>
      </c>
      <c r="U18" s="97">
        <v>1.3</v>
      </c>
      <c r="V18" s="98" t="s">
        <v>14</v>
      </c>
      <c r="W18" s="48" t="s">
        <v>65</v>
      </c>
      <c r="X18" s="51"/>
      <c r="Y18" s="72"/>
      <c r="Z18" s="72"/>
      <c r="AA18" s="29"/>
      <c r="AB18" s="29"/>
    </row>
    <row r="19" spans="1:29" ht="25.5" customHeight="1" x14ac:dyDescent="0.2">
      <c r="A19" s="52" t="s">
        <v>45</v>
      </c>
      <c r="B19" s="29">
        <v>1525</v>
      </c>
      <c r="C19" s="84" t="s">
        <v>38</v>
      </c>
      <c r="D19" s="29">
        <v>220</v>
      </c>
      <c r="E19" s="84" t="s">
        <v>10</v>
      </c>
      <c r="F19" s="29">
        <v>120</v>
      </c>
      <c r="G19" s="33">
        <f>160.6/B19*1000</f>
        <v>105.31147540983605</v>
      </c>
      <c r="H19" s="33">
        <f>14.5/B19*1000</f>
        <v>9.5081967213114762</v>
      </c>
      <c r="I19" s="31">
        <f>2945000/B19</f>
        <v>1931.1475409836066</v>
      </c>
      <c r="J19" s="29">
        <v>23</v>
      </c>
      <c r="K19" s="36">
        <f>3000/B19</f>
        <v>1.9672131147540983</v>
      </c>
      <c r="L19" s="32">
        <f>52/B19*1000</f>
        <v>34.098360655737707</v>
      </c>
      <c r="M19" s="32">
        <f>45.5/B19*1000</f>
        <v>29.83606557377049</v>
      </c>
      <c r="N19" s="102">
        <v>1.1000000000000001</v>
      </c>
      <c r="O19" s="41">
        <f>139.1/B19*1000</f>
        <v>91.213114754098356</v>
      </c>
      <c r="P19" s="33">
        <f>14.5/B19*1000</f>
        <v>9.5081967213114762</v>
      </c>
      <c r="Q19" s="29">
        <v>23</v>
      </c>
      <c r="R19" s="36">
        <f>-24000/B19</f>
        <v>-15.737704918032787</v>
      </c>
      <c r="S19" s="78">
        <f>52/B19*1000</f>
        <v>34.098360655737707</v>
      </c>
      <c r="T19" s="91">
        <f>40.6/B19*1000</f>
        <v>26.622950819672131</v>
      </c>
      <c r="U19" s="29">
        <v>1.3</v>
      </c>
      <c r="V19" s="34" t="s">
        <v>14</v>
      </c>
      <c r="W19" s="29" t="s">
        <v>65</v>
      </c>
      <c r="X19" s="53"/>
      <c r="Y19" s="83"/>
      <c r="Z19" s="29"/>
      <c r="AA19" s="29"/>
      <c r="AB19" s="29"/>
    </row>
    <row r="20" spans="1:29" ht="25.5" customHeight="1" x14ac:dyDescent="0.2">
      <c r="A20" s="52" t="s">
        <v>57</v>
      </c>
      <c r="B20" s="29">
        <v>334</v>
      </c>
      <c r="C20" s="84" t="s">
        <v>32</v>
      </c>
      <c r="D20" s="29">
        <v>220</v>
      </c>
      <c r="E20" s="84" t="s">
        <v>60</v>
      </c>
      <c r="F20" s="29">
        <v>92</v>
      </c>
      <c r="G20" s="33">
        <f>46.9/B20*1000</f>
        <v>140.4191616766467</v>
      </c>
      <c r="H20" s="33">
        <f>3.8/B20*1000</f>
        <v>11.377245508982035</v>
      </c>
      <c r="I20" s="31">
        <f>1611000/B20</f>
        <v>4823.3532934131736</v>
      </c>
      <c r="J20" s="29">
        <v>44</v>
      </c>
      <c r="K20" s="36">
        <f>-114000/B20</f>
        <v>-341.31736526946105</v>
      </c>
      <c r="L20" s="33">
        <f>14.7/B20*1000</f>
        <v>44.011976047904191</v>
      </c>
      <c r="M20" s="33">
        <f>13/B20*1000</f>
        <v>38.922155688622759</v>
      </c>
      <c r="N20" s="105">
        <v>1.1000000000000001</v>
      </c>
      <c r="O20" s="41">
        <f>44.9/B20*1000</f>
        <v>134.43113772455089</v>
      </c>
      <c r="P20" s="33">
        <f>3.8/B20*1000</f>
        <v>11.377245508982035</v>
      </c>
      <c r="Q20" s="29">
        <v>44</v>
      </c>
      <c r="R20" s="36">
        <f>-120000/B20</f>
        <v>-359.28143712574848</v>
      </c>
      <c r="S20" s="76">
        <f>14.7/B20*1000</f>
        <v>44.011976047904191</v>
      </c>
      <c r="T20" s="41">
        <f>12.6/B20*1000</f>
        <v>37.724550898203589</v>
      </c>
      <c r="U20" s="33">
        <v>1.2</v>
      </c>
      <c r="V20" s="34" t="s">
        <v>14</v>
      </c>
      <c r="W20" s="29" t="s">
        <v>65</v>
      </c>
      <c r="X20" s="53"/>
      <c r="Y20" s="83"/>
      <c r="Z20" s="29"/>
      <c r="AA20" s="29"/>
      <c r="AB20" s="29"/>
    </row>
    <row r="21" spans="1:29" ht="25.5" customHeight="1" x14ac:dyDescent="0.2">
      <c r="A21" s="55" t="s">
        <v>34</v>
      </c>
      <c r="B21" s="66">
        <v>216</v>
      </c>
      <c r="C21" s="56" t="s">
        <v>38</v>
      </c>
      <c r="D21" s="57">
        <v>282</v>
      </c>
      <c r="E21" s="56" t="s">
        <v>11</v>
      </c>
      <c r="F21" s="57">
        <v>78</v>
      </c>
      <c r="G21" s="59">
        <f>54/B21*1000</f>
        <v>250</v>
      </c>
      <c r="H21" s="59">
        <f>2.1/B21*1000</f>
        <v>9.7222222222222232</v>
      </c>
      <c r="I21" s="58">
        <f>766000/B21</f>
        <v>3546.2962962962961</v>
      </c>
      <c r="J21" s="57">
        <v>20</v>
      </c>
      <c r="K21" s="100">
        <f>207000/B21</f>
        <v>958.33333333333337</v>
      </c>
      <c r="L21" s="62">
        <f>10.3/B21*1000</f>
        <v>47.68518518518519</v>
      </c>
      <c r="M21" s="62">
        <f>13.5/B21*1000</f>
        <v>62.5</v>
      </c>
      <c r="N21" s="103">
        <v>0.8</v>
      </c>
      <c r="O21" s="69">
        <f>52.8/B21*1000</f>
        <v>244.44444444444443</v>
      </c>
      <c r="P21" s="59">
        <f>2.1/B21*1000</f>
        <v>9.7222222222222232</v>
      </c>
      <c r="Q21" s="57">
        <v>20</v>
      </c>
      <c r="R21" s="100">
        <f>202000/B21</f>
        <v>935.18518518518522</v>
      </c>
      <c r="S21" s="79">
        <f>10.3/B21*1000</f>
        <v>47.68518518518519</v>
      </c>
      <c r="T21" s="117">
        <f>13.3/B21*1000</f>
        <v>61.574074074074076</v>
      </c>
      <c r="U21" s="57">
        <v>0.8</v>
      </c>
      <c r="V21" s="60" t="s">
        <v>14</v>
      </c>
      <c r="W21" s="29" t="s">
        <v>65</v>
      </c>
      <c r="X21" s="65"/>
      <c r="Y21" s="72"/>
      <c r="Z21" s="72"/>
      <c r="AA21" s="29"/>
      <c r="AB21" s="29"/>
    </row>
    <row r="22" spans="1:29" ht="25.5" customHeight="1" x14ac:dyDescent="0.2">
      <c r="A22" s="45" t="s">
        <v>68</v>
      </c>
      <c r="B22" s="80">
        <v>140</v>
      </c>
      <c r="C22" s="85" t="s">
        <v>38</v>
      </c>
      <c r="D22" s="48">
        <v>256</v>
      </c>
      <c r="E22" s="85" t="s">
        <v>60</v>
      </c>
      <c r="F22" s="48">
        <v>84</v>
      </c>
      <c r="G22" s="97">
        <f>22.8/B22*1000</f>
        <v>162.85714285714286</v>
      </c>
      <c r="H22" s="97">
        <f>3.4/B22*1000</f>
        <v>24.285714285714285</v>
      </c>
      <c r="I22" s="93">
        <f>396000/B22</f>
        <v>2828.5714285714284</v>
      </c>
      <c r="J22" s="48">
        <v>12</v>
      </c>
      <c r="K22" s="93">
        <f>250000/B22</f>
        <v>1785.7142857142858</v>
      </c>
      <c r="L22" s="106">
        <f>12.5/B22*1000</f>
        <v>89.285714285714292</v>
      </c>
      <c r="M22" s="106">
        <f>10/B22*1000</f>
        <v>71.428571428571431</v>
      </c>
      <c r="N22" s="101">
        <v>1.3</v>
      </c>
      <c r="O22" s="106">
        <f>21.8/B22*1000</f>
        <v>155.71428571428572</v>
      </c>
      <c r="P22" s="97">
        <f>3.4/B22*1000</f>
        <v>24.285714285714285</v>
      </c>
      <c r="Q22" s="93">
        <v>13</v>
      </c>
      <c r="R22" s="99">
        <f>226000/B22</f>
        <v>1614.2857142857142</v>
      </c>
      <c r="S22" s="114">
        <f>12.5/B22*1000</f>
        <v>89.285714285714292</v>
      </c>
      <c r="T22" s="106">
        <f>9.8/B22*1000</f>
        <v>70</v>
      </c>
      <c r="U22" s="97">
        <v>1.3</v>
      </c>
      <c r="V22" s="108" t="s">
        <v>72</v>
      </c>
      <c r="W22" s="48" t="s">
        <v>79</v>
      </c>
      <c r="X22" s="51"/>
      <c r="Y22" s="72"/>
      <c r="Z22" s="29"/>
      <c r="AA22" s="29"/>
      <c r="AB22" s="29"/>
    </row>
    <row r="23" spans="1:29" ht="25.5" customHeight="1" x14ac:dyDescent="0.2">
      <c r="A23" s="55" t="s">
        <v>70</v>
      </c>
      <c r="B23" s="57">
        <v>140</v>
      </c>
      <c r="C23" s="56" t="s">
        <v>43</v>
      </c>
      <c r="D23" s="57">
        <v>354</v>
      </c>
      <c r="E23" s="56" t="s">
        <v>60</v>
      </c>
      <c r="F23" s="57">
        <v>81</v>
      </c>
      <c r="G23" s="59">
        <f>38.5/B23*1000</f>
        <v>275</v>
      </c>
      <c r="H23" s="59">
        <f>3.4/B23*1000</f>
        <v>24.285714285714285</v>
      </c>
      <c r="I23" s="58">
        <f>434000/B23</f>
        <v>3100</v>
      </c>
      <c r="J23" s="57">
        <v>8</v>
      </c>
      <c r="K23" s="58">
        <f>599000/B23</f>
        <v>4278.5714285714284</v>
      </c>
      <c r="L23" s="59">
        <f>14.4/B23*1000</f>
        <v>102.85714285714286</v>
      </c>
      <c r="M23" s="59">
        <f>14.6/B23*1000</f>
        <v>104.28571428571429</v>
      </c>
      <c r="N23" s="103">
        <v>1</v>
      </c>
      <c r="O23" s="69">
        <f>37.6/B23*1000</f>
        <v>268.57142857142856</v>
      </c>
      <c r="P23" s="59">
        <f>3.4/B23*1000</f>
        <v>24.285714285714285</v>
      </c>
      <c r="Q23" s="57">
        <v>9</v>
      </c>
      <c r="R23" s="100">
        <f>577000/B23</f>
        <v>4121.4285714285716</v>
      </c>
      <c r="S23" s="77">
        <f>14.4/B23*1000</f>
        <v>102.85714285714286</v>
      </c>
      <c r="T23" s="69">
        <f>14.4/B23*1000</f>
        <v>102.85714285714286</v>
      </c>
      <c r="U23" s="59">
        <v>1</v>
      </c>
      <c r="V23" s="60" t="s">
        <v>72</v>
      </c>
      <c r="W23" s="29" t="s">
        <v>79</v>
      </c>
      <c r="X23" s="65"/>
      <c r="Y23" s="72"/>
      <c r="Z23" s="29"/>
      <c r="AA23" s="29"/>
      <c r="AB23" s="29"/>
    </row>
    <row r="24" spans="1:29" ht="25.5" customHeight="1" x14ac:dyDescent="0.2">
      <c r="A24" s="45" t="s">
        <v>30</v>
      </c>
      <c r="B24" s="48">
        <v>144</v>
      </c>
      <c r="C24" s="85" t="s">
        <v>32</v>
      </c>
      <c r="D24" s="48">
        <v>202</v>
      </c>
      <c r="E24" s="85" t="s">
        <v>10</v>
      </c>
      <c r="F24" s="48">
        <v>119</v>
      </c>
      <c r="G24" s="97">
        <f>31.7/B24*1000</f>
        <v>220.13888888888889</v>
      </c>
      <c r="H24" s="97">
        <f>-6.7/B24*1000</f>
        <v>-46.527777777777779</v>
      </c>
      <c r="I24" s="93">
        <f>332000/B24</f>
        <v>2305.5555555555557</v>
      </c>
      <c r="J24" s="48">
        <v>14</v>
      </c>
      <c r="K24" s="93">
        <f>185000/B24</f>
        <v>1284.7222222222222</v>
      </c>
      <c r="L24" s="97">
        <f>17.1/B24*1000</f>
        <v>118.75000000000001</v>
      </c>
      <c r="M24" s="97">
        <f>5.2/B24*1000</f>
        <v>36.111111111111114</v>
      </c>
      <c r="N24" s="101">
        <v>3.3</v>
      </c>
      <c r="O24" s="106">
        <f>31.7/B24*1000</f>
        <v>220.13888888888889</v>
      </c>
      <c r="P24" s="97">
        <f>-7.1/B24*1000</f>
        <v>-49.305555555555557</v>
      </c>
      <c r="Q24" s="93">
        <v>14</v>
      </c>
      <c r="R24" s="99">
        <f>176000/B24</f>
        <v>1222.2222222222222</v>
      </c>
      <c r="S24" s="114">
        <f>17.1/B24*1000</f>
        <v>118.75000000000001</v>
      </c>
      <c r="T24" s="106">
        <f>5/B24*1000</f>
        <v>34.722222222222221</v>
      </c>
      <c r="U24" s="97">
        <v>3.4</v>
      </c>
      <c r="V24" s="98" t="s">
        <v>33</v>
      </c>
      <c r="W24" s="48" t="s">
        <v>62</v>
      </c>
      <c r="X24" s="51"/>
      <c r="Y24" s="72"/>
      <c r="Z24" s="29"/>
      <c r="AA24" s="29"/>
      <c r="AB24" s="34"/>
    </row>
    <row r="25" spans="1:29" ht="25.5" customHeight="1" x14ac:dyDescent="0.2">
      <c r="A25" s="52" t="s">
        <v>42</v>
      </c>
      <c r="B25" s="29">
        <v>140</v>
      </c>
      <c r="C25" s="84" t="s">
        <v>38</v>
      </c>
      <c r="D25" s="29">
        <v>256</v>
      </c>
      <c r="E25" s="84" t="s">
        <v>11</v>
      </c>
      <c r="F25" s="29">
        <v>49</v>
      </c>
      <c r="G25" s="33">
        <f>39.8/B25*1000</f>
        <v>284.28571428571428</v>
      </c>
      <c r="H25" s="33">
        <f>-1.7/B25*1000</f>
        <v>-12.142857142857142</v>
      </c>
      <c r="I25" s="31">
        <f>566000/B25</f>
        <v>4042.8571428571427</v>
      </c>
      <c r="J25" s="29">
        <v>14</v>
      </c>
      <c r="K25" s="31">
        <f>216000/B25</f>
        <v>1542.8571428571429</v>
      </c>
      <c r="L25" s="41">
        <f>27/B25*1000</f>
        <v>192.85714285714286</v>
      </c>
      <c r="M25" s="41">
        <f>10.7/B25*1000</f>
        <v>76.428571428571431</v>
      </c>
      <c r="N25" s="102">
        <v>2.5</v>
      </c>
      <c r="O25" s="41">
        <f>39.8/B25*1000</f>
        <v>284.28571428571428</v>
      </c>
      <c r="P25" s="33">
        <f>-2/B25*1000</f>
        <v>-14.285714285714285</v>
      </c>
      <c r="Q25" s="31">
        <v>14</v>
      </c>
      <c r="R25" s="36">
        <f>208000/B25</f>
        <v>1485.7142857142858</v>
      </c>
      <c r="S25" s="76">
        <f>27/B25*1000</f>
        <v>192.85714285714286</v>
      </c>
      <c r="T25" s="41">
        <f>10.5/B25*1000</f>
        <v>75</v>
      </c>
      <c r="U25" s="33">
        <v>2.6</v>
      </c>
      <c r="V25" s="34" t="s">
        <v>71</v>
      </c>
      <c r="W25" s="29" t="s">
        <v>65</v>
      </c>
      <c r="X25" s="53"/>
      <c r="Y25" s="72"/>
      <c r="Z25" s="29"/>
      <c r="AA25" s="29"/>
      <c r="AB25" s="34"/>
    </row>
    <row r="26" spans="1:29" ht="25.5" customHeight="1" x14ac:dyDescent="0.2">
      <c r="A26" s="45" t="s">
        <v>40</v>
      </c>
      <c r="B26" s="80">
        <v>140</v>
      </c>
      <c r="C26" s="85" t="s">
        <v>43</v>
      </c>
      <c r="D26" s="48">
        <v>354</v>
      </c>
      <c r="E26" s="85" t="s">
        <v>11</v>
      </c>
      <c r="F26" s="48">
        <v>45</v>
      </c>
      <c r="G26" s="97">
        <f>54.8/B26*1000</f>
        <v>391.42857142857139</v>
      </c>
      <c r="H26" s="97">
        <f>-1.5/B26*1000</f>
        <v>-10.714285714285714</v>
      </c>
      <c r="I26" s="93">
        <f>604000/B26</f>
        <v>4314.2857142857147</v>
      </c>
      <c r="J26" s="48">
        <v>10</v>
      </c>
      <c r="K26" s="93">
        <f>582000/B26</f>
        <v>4157.1428571428569</v>
      </c>
      <c r="L26" s="97">
        <f>28.8/B26*1000</f>
        <v>205.71428571428572</v>
      </c>
      <c r="M26" s="97">
        <f>15.3/B26*1000</f>
        <v>109.28571428571429</v>
      </c>
      <c r="N26" s="110">
        <v>1.9</v>
      </c>
      <c r="O26" s="106">
        <f>54.8/B26*1000</f>
        <v>391.42857142857139</v>
      </c>
      <c r="P26" s="97">
        <f>-1.8/B26*1000</f>
        <v>-12.857142857142858</v>
      </c>
      <c r="Q26" s="48">
        <v>10</v>
      </c>
      <c r="R26" s="99">
        <f>573000/B26</f>
        <v>4092.8571428571427</v>
      </c>
      <c r="S26" s="114">
        <f>28.8/B26*1000</f>
        <v>205.71428571428572</v>
      </c>
      <c r="T26" s="106">
        <f>15.1/B26*1000</f>
        <v>107.85714285714286</v>
      </c>
      <c r="U26" s="97">
        <v>1.9</v>
      </c>
      <c r="V26" s="108" t="s">
        <v>71</v>
      </c>
      <c r="W26" s="48" t="s">
        <v>65</v>
      </c>
      <c r="X26" s="51"/>
      <c r="Y26" s="72"/>
      <c r="Z26" s="29"/>
      <c r="AA26" s="29"/>
      <c r="AB26" s="34"/>
    </row>
    <row r="27" spans="1:29" ht="25.5" customHeight="1" x14ac:dyDescent="0.2">
      <c r="A27" s="55" t="s">
        <v>28</v>
      </c>
      <c r="B27" s="57">
        <v>144</v>
      </c>
      <c r="C27" s="56" t="s">
        <v>32</v>
      </c>
      <c r="D27" s="57">
        <v>202</v>
      </c>
      <c r="E27" s="56" t="s">
        <v>11</v>
      </c>
      <c r="F27" s="57">
        <v>38</v>
      </c>
      <c r="G27" s="59">
        <f>31.7/B27*1000</f>
        <v>220.13888888888889</v>
      </c>
      <c r="H27" s="59">
        <f>-2.1/B27*1000</f>
        <v>-14.583333333333334</v>
      </c>
      <c r="I27" s="58">
        <f>523000/B27</f>
        <v>3631.9444444444443</v>
      </c>
      <c r="J27" s="57">
        <v>15</v>
      </c>
      <c r="K27" s="58">
        <f>267000/B27</f>
        <v>1854.1666666666667</v>
      </c>
      <c r="L27" s="59">
        <f>30.5/B27*1000</f>
        <v>211.80555555555554</v>
      </c>
      <c r="M27" s="59">
        <f>8.1/B27*1000</f>
        <v>56.249999999999993</v>
      </c>
      <c r="N27" s="103">
        <v>3.8</v>
      </c>
      <c r="O27" s="69">
        <f>31.7/B27*1000</f>
        <v>220.13888888888889</v>
      </c>
      <c r="P27" s="59">
        <f>-2.2/B27*1000</f>
        <v>-15.277777777777779</v>
      </c>
      <c r="Q27" s="57">
        <v>15</v>
      </c>
      <c r="R27" s="100">
        <f>265000/B27</f>
        <v>1840.2777777777778</v>
      </c>
      <c r="S27" s="77">
        <f>30.5/B27*1000</f>
        <v>211.80555555555554</v>
      </c>
      <c r="T27" s="69">
        <f>8/B27*1000</f>
        <v>55.55555555555555</v>
      </c>
      <c r="U27" s="59">
        <v>3.8</v>
      </c>
      <c r="V27" s="60" t="s">
        <v>14</v>
      </c>
      <c r="W27" s="57" t="s">
        <v>65</v>
      </c>
      <c r="X27" s="65"/>
      <c r="Y27" s="72"/>
      <c r="Z27" s="29"/>
      <c r="AA27" s="29"/>
      <c r="AB27" s="34"/>
    </row>
    <row r="28" spans="1:29" ht="12.75" customHeight="1" x14ac:dyDescent="0.2">
      <c r="A28" s="28"/>
      <c r="B28" s="28"/>
      <c r="C28" s="28"/>
      <c r="D28" s="89"/>
      <c r="E28" s="28"/>
      <c r="F28" s="87"/>
      <c r="G28" s="28"/>
      <c r="H28" s="89"/>
      <c r="I28" s="88"/>
      <c r="J28" s="123"/>
      <c r="K28" s="123"/>
      <c r="L28" s="123"/>
      <c r="M28" s="123"/>
      <c r="N28" s="123"/>
      <c r="O28" s="28"/>
      <c r="P28" s="89"/>
      <c r="Q28" s="123"/>
      <c r="R28" s="123"/>
      <c r="S28" s="123"/>
      <c r="T28" s="123"/>
      <c r="U28" s="123"/>
      <c r="V28" s="28"/>
      <c r="W28" s="28"/>
      <c r="X28" s="28"/>
      <c r="Y28" s="28"/>
      <c r="Z28" s="28"/>
      <c r="AA28" s="28"/>
      <c r="AB28" s="28"/>
      <c r="AC28" s="28"/>
    </row>
    <row r="29" spans="1:29" ht="12.75" customHeight="1" x14ac:dyDescent="0.2">
      <c r="A29" s="28"/>
      <c r="B29" s="28"/>
      <c r="C29" s="28"/>
      <c r="D29" s="89"/>
      <c r="E29" s="28"/>
      <c r="F29" s="89"/>
      <c r="G29" s="28"/>
      <c r="H29" s="89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2.75" customHeight="1" x14ac:dyDescent="0.2">
      <c r="A30" s="28"/>
      <c r="B30" s="28"/>
      <c r="C30" s="89"/>
      <c r="D30" s="28"/>
      <c r="E30" s="89"/>
      <c r="F30" s="28"/>
      <c r="G30" s="28"/>
      <c r="H30" s="28"/>
      <c r="I30" s="36"/>
      <c r="J30" s="28"/>
      <c r="K30" s="36"/>
      <c r="L30" s="41"/>
      <c r="M30" s="41"/>
      <c r="N30" s="28"/>
      <c r="O30" s="28"/>
      <c r="P30" s="28"/>
      <c r="Q30" s="28"/>
      <c r="R30" s="36"/>
      <c r="S30" s="41"/>
      <c r="T30" s="41"/>
      <c r="U30" s="41"/>
      <c r="V30" s="28"/>
      <c r="W30" s="90"/>
      <c r="X30" s="90"/>
      <c r="Y30" s="90"/>
      <c r="Z30" s="90"/>
      <c r="AA30" s="28"/>
      <c r="AB30" s="28"/>
      <c r="AC30" s="28"/>
    </row>
    <row r="31" spans="1:29" ht="25.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25.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x14ac:dyDescent="0.2">
      <c r="A34" s="28"/>
      <c r="B34" s="28"/>
      <c r="C34" s="89"/>
      <c r="D34" s="28"/>
      <c r="E34" s="89"/>
      <c r="F34" s="28"/>
      <c r="G34" s="41"/>
      <c r="H34" s="28"/>
      <c r="I34" s="36"/>
      <c r="J34" s="28"/>
      <c r="K34" s="36"/>
      <c r="L34" s="28"/>
      <c r="M34" s="28"/>
      <c r="N34" s="28"/>
      <c r="O34" s="28"/>
      <c r="P34" s="91"/>
      <c r="Q34" s="36"/>
      <c r="R34" s="36"/>
      <c r="S34" s="28"/>
      <c r="T34" s="28"/>
      <c r="U34" s="41"/>
      <c r="V34" s="90"/>
      <c r="W34" s="90"/>
      <c r="X34" s="90"/>
      <c r="Y34" s="90"/>
      <c r="Z34" s="90"/>
      <c r="AA34" s="28"/>
      <c r="AB34" s="28"/>
      <c r="AC34" s="28"/>
    </row>
    <row r="35" spans="1:29" ht="12.75" customHeight="1" x14ac:dyDescent="0.2">
      <c r="A35" s="28"/>
      <c r="B35" s="28"/>
      <c r="C35" s="89"/>
      <c r="D35" s="89"/>
      <c r="E35" s="87"/>
      <c r="F35" s="87"/>
      <c r="G35" s="28"/>
      <c r="H35" s="28"/>
      <c r="I35" s="87"/>
      <c r="J35" s="92"/>
      <c r="K35" s="88"/>
      <c r="L35" s="28"/>
      <c r="M35" s="28"/>
      <c r="N35" s="28"/>
      <c r="O35" s="28"/>
      <c r="P35" s="28"/>
      <c r="Q35" s="92"/>
      <c r="R35" s="8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x14ac:dyDescent="0.2">
      <c r="A36" s="28"/>
      <c r="B36" s="28"/>
      <c r="C36" s="28"/>
      <c r="D36" s="89"/>
      <c r="E36" s="28"/>
      <c r="F36" s="87"/>
      <c r="G36" s="28"/>
      <c r="H36" s="89"/>
      <c r="I36" s="88"/>
      <c r="J36" s="123"/>
      <c r="K36" s="123"/>
      <c r="L36" s="123"/>
      <c r="M36" s="123"/>
      <c r="N36" s="123"/>
      <c r="O36" s="28"/>
      <c r="P36" s="89"/>
      <c r="Q36" s="123"/>
      <c r="R36" s="123"/>
      <c r="S36" s="123"/>
      <c r="T36" s="123"/>
      <c r="U36" s="123"/>
      <c r="V36" s="28"/>
      <c r="W36" s="28"/>
      <c r="X36" s="28"/>
      <c r="Y36" s="28"/>
      <c r="Z36" s="28"/>
      <c r="AA36" s="28"/>
      <c r="AB36" s="28"/>
      <c r="AC36" s="28"/>
    </row>
    <row r="37" spans="1:29" ht="12.75" customHeight="1" x14ac:dyDescent="0.2">
      <c r="A37" s="28"/>
      <c r="B37" s="28"/>
      <c r="C37" s="28"/>
      <c r="D37" s="89"/>
      <c r="E37" s="28"/>
      <c r="F37" s="89"/>
      <c r="G37" s="28"/>
      <c r="H37" s="89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2.75" customHeight="1" x14ac:dyDescent="0.2">
      <c r="A38" s="28"/>
      <c r="B38" s="28"/>
      <c r="C38" s="89"/>
      <c r="D38" s="28"/>
      <c r="E38" s="89"/>
      <c r="F38" s="28"/>
      <c r="G38" s="41"/>
      <c r="H38" s="28"/>
      <c r="I38" s="36"/>
      <c r="J38" s="28"/>
      <c r="K38" s="36"/>
      <c r="L38" s="41"/>
      <c r="M38" s="41"/>
      <c r="N38" s="41"/>
      <c r="O38" s="41"/>
      <c r="P38" s="28"/>
      <c r="Q38" s="28"/>
      <c r="R38" s="36"/>
      <c r="S38" s="41"/>
      <c r="T38" s="41"/>
      <c r="U38" s="41"/>
      <c r="V38" s="28"/>
      <c r="W38" s="90"/>
      <c r="X38" s="90"/>
      <c r="Y38" s="90"/>
      <c r="Z38" s="90"/>
      <c r="AA38" s="28"/>
      <c r="AB38" s="28"/>
      <c r="AC38" s="28"/>
    </row>
    <row r="39" spans="1:29" ht="25.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25.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25.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25.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12.75" customHeight="1" x14ac:dyDescent="0.2">
      <c r="A50" s="28"/>
      <c r="B50" s="28"/>
      <c r="C50" s="89"/>
      <c r="D50" s="89"/>
      <c r="E50" s="87"/>
      <c r="F50" s="87"/>
      <c r="G50" s="28"/>
      <c r="H50" s="28"/>
      <c r="I50" s="87"/>
      <c r="J50" s="92"/>
      <c r="K50" s="8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1:29" x14ac:dyDescent="0.2">
      <c r="A51" s="28"/>
      <c r="B51" s="28"/>
      <c r="C51" s="28"/>
      <c r="D51" s="89"/>
      <c r="E51" s="28"/>
      <c r="F51" s="87"/>
      <c r="G51" s="28"/>
      <c r="H51" s="89"/>
      <c r="I51" s="88"/>
      <c r="J51" s="123"/>
      <c r="K51" s="123"/>
      <c r="L51" s="123"/>
      <c r="M51" s="123"/>
      <c r="N51" s="123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29" ht="12.75" customHeight="1" x14ac:dyDescent="0.2">
      <c r="A52" s="28"/>
      <c r="B52" s="28"/>
      <c r="C52" s="28"/>
      <c r="D52" s="89"/>
      <c r="E52" s="28"/>
      <c r="F52" s="89"/>
      <c r="G52" s="28"/>
      <c r="H52" s="89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29" ht="12.75" customHeight="1" x14ac:dyDescent="0.2">
      <c r="A53" s="28"/>
      <c r="B53" s="28"/>
      <c r="C53" s="89"/>
      <c r="D53" s="28"/>
      <c r="E53" s="89"/>
      <c r="F53" s="28"/>
      <c r="G53" s="28"/>
      <c r="H53" s="28"/>
      <c r="I53" s="36"/>
      <c r="J53" s="28"/>
      <c r="K53" s="36"/>
      <c r="L53" s="41"/>
      <c r="M53" s="41"/>
      <c r="N53" s="41"/>
      <c r="O53" s="28"/>
      <c r="P53" s="90"/>
      <c r="Q53" s="90"/>
      <c r="R53" s="90"/>
      <c r="S53" s="28"/>
      <c r="T53" s="90"/>
      <c r="U53" s="90"/>
      <c r="V53" s="28"/>
      <c r="W53" s="28"/>
      <c r="X53" s="28"/>
      <c r="Y53" s="28"/>
      <c r="Z53" s="28"/>
      <c r="AA53" s="28"/>
      <c r="AB53" s="28"/>
      <c r="AC53" s="28"/>
    </row>
    <row r="54" spans="1:29" ht="25.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90"/>
      <c r="U54" s="90"/>
      <c r="V54" s="28"/>
      <c r="W54" s="28"/>
      <c r="X54" s="28"/>
      <c r="Y54" s="28"/>
      <c r="Z54" s="28"/>
      <c r="AA54" s="28"/>
      <c r="AB54" s="28"/>
      <c r="AC54" s="28"/>
    </row>
    <row r="55" spans="1:29" ht="12.75" customHeight="1" x14ac:dyDescent="0.2">
      <c r="A55" s="28"/>
      <c r="B55" s="28"/>
      <c r="C55" s="89"/>
      <c r="D55" s="28"/>
      <c r="E55" s="89"/>
      <c r="F55" s="28"/>
      <c r="G55" s="28"/>
      <c r="H55" s="28"/>
      <c r="I55" s="36"/>
      <c r="J55" s="28"/>
      <c r="K55" s="36"/>
      <c r="L55" s="41"/>
      <c r="M55" s="41"/>
      <c r="N55" s="28"/>
      <c r="O55" s="28"/>
      <c r="P55" s="90"/>
      <c r="Q55" s="90"/>
      <c r="R55" s="90"/>
      <c r="S55" s="28"/>
      <c r="T55" s="90"/>
      <c r="U55" s="90"/>
      <c r="V55" s="28"/>
      <c r="W55" s="28"/>
      <c r="X55" s="28"/>
      <c r="Y55" s="28"/>
      <c r="Z55" s="28"/>
      <c r="AA55" s="28"/>
      <c r="AB55" s="28"/>
      <c r="AC55" s="28"/>
    </row>
    <row r="56" spans="1:29" ht="25.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90"/>
      <c r="U56" s="90"/>
      <c r="V56" s="28"/>
      <c r="W56" s="28"/>
      <c r="X56" s="28"/>
      <c r="Y56" s="28"/>
      <c r="Z56" s="28"/>
      <c r="AA56" s="28"/>
      <c r="AB56" s="28"/>
      <c r="AC56" s="28"/>
    </row>
    <row r="57" spans="1:29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ht="12.75" customHeight="1" x14ac:dyDescent="0.2">
      <c r="A58" s="28"/>
      <c r="B58" s="28"/>
      <c r="C58" s="89"/>
      <c r="D58" s="89"/>
      <c r="E58" s="87"/>
      <c r="F58" s="87"/>
      <c r="G58" s="28"/>
      <c r="H58" s="28"/>
      <c r="I58" s="87"/>
      <c r="J58" s="92"/>
      <c r="K58" s="8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x14ac:dyDescent="0.2">
      <c r="A59" s="28"/>
      <c r="B59" s="28"/>
      <c r="C59" s="28"/>
      <c r="D59" s="89"/>
      <c r="E59" s="28"/>
      <c r="F59" s="87"/>
      <c r="G59" s="28"/>
      <c r="H59" s="89"/>
      <c r="I59" s="88"/>
      <c r="J59" s="123"/>
      <c r="K59" s="123"/>
      <c r="L59" s="123"/>
      <c r="M59" s="123"/>
      <c r="N59" s="123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ht="12.75" customHeight="1" x14ac:dyDescent="0.2">
      <c r="A60" s="28"/>
      <c r="B60" s="28"/>
      <c r="C60" s="28"/>
      <c r="D60" s="89"/>
      <c r="E60" s="28"/>
      <c r="F60" s="89"/>
      <c r="G60" s="28"/>
      <c r="H60" s="89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1:29" ht="12.75" customHeight="1" x14ac:dyDescent="0.2">
      <c r="A61" s="28"/>
      <c r="B61" s="28"/>
      <c r="C61" s="89"/>
      <c r="D61" s="28"/>
      <c r="E61" s="89"/>
      <c r="F61" s="28"/>
      <c r="G61" s="28"/>
      <c r="H61" s="28"/>
      <c r="I61" s="36"/>
      <c r="J61" s="28"/>
      <c r="K61" s="36"/>
      <c r="L61" s="91"/>
      <c r="M61" s="91"/>
      <c r="N61" s="28"/>
      <c r="O61" s="28"/>
      <c r="P61" s="90"/>
      <c r="Q61" s="90"/>
      <c r="R61" s="90"/>
      <c r="S61" s="28"/>
      <c r="T61" s="90"/>
      <c r="U61" s="90"/>
      <c r="V61" s="28"/>
      <c r="W61" s="28"/>
      <c r="X61" s="28"/>
      <c r="Y61" s="28"/>
      <c r="Z61" s="28"/>
      <c r="AA61" s="28"/>
      <c r="AB61" s="28"/>
      <c r="AC61" s="28"/>
    </row>
    <row r="62" spans="1:29" ht="25.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ht="12.75" customHeight="1" x14ac:dyDescent="0.2">
      <c r="A63" s="28"/>
      <c r="B63" s="28"/>
      <c r="C63" s="89"/>
      <c r="D63" s="28"/>
      <c r="E63" s="89"/>
      <c r="F63" s="28"/>
      <c r="G63" s="28"/>
      <c r="H63" s="28"/>
      <c r="I63" s="36"/>
      <c r="J63" s="28"/>
      <c r="K63" s="36"/>
      <c r="L63" s="91"/>
      <c r="M63" s="91"/>
      <c r="N63" s="28"/>
      <c r="O63" s="28"/>
      <c r="P63" s="90"/>
      <c r="Q63" s="90"/>
      <c r="R63" s="90"/>
      <c r="S63" s="28"/>
      <c r="T63" s="90"/>
      <c r="U63" s="90"/>
      <c r="V63" s="28"/>
      <c r="W63" s="28"/>
      <c r="X63" s="28"/>
      <c r="Y63" s="28"/>
      <c r="Z63" s="28"/>
      <c r="AA63" s="28"/>
      <c r="AB63" s="28"/>
      <c r="AC63" s="28"/>
    </row>
    <row r="64" spans="1:29" ht="25.5" customHeight="1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x14ac:dyDescent="0.2">
      <c r="A66" s="28"/>
      <c r="B66" s="28"/>
      <c r="C66" s="89"/>
      <c r="D66" s="89"/>
      <c r="E66" s="87"/>
      <c r="F66" s="87"/>
      <c r="G66" s="28"/>
      <c r="H66" s="28"/>
      <c r="I66" s="87"/>
      <c r="J66" s="92"/>
      <c r="K66" s="8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1:29" x14ac:dyDescent="0.2">
      <c r="A67" s="28"/>
      <c r="B67" s="28"/>
      <c r="C67" s="28"/>
      <c r="D67" s="89"/>
      <c r="E67" s="28"/>
      <c r="F67" s="87"/>
      <c r="G67" s="28"/>
      <c r="H67" s="89"/>
      <c r="I67" s="88"/>
      <c r="J67" s="123"/>
      <c r="K67" s="123"/>
      <c r="L67" s="123"/>
      <c r="M67" s="123"/>
      <c r="N67" s="123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1:29" x14ac:dyDescent="0.2">
      <c r="A68" s="28"/>
      <c r="B68" s="28"/>
      <c r="C68" s="28"/>
      <c r="D68" s="89"/>
      <c r="E68" s="28"/>
      <c r="F68" s="89"/>
      <c r="G68" s="28"/>
      <c r="H68" s="89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ht="12.75" customHeight="1" x14ac:dyDescent="0.2">
      <c r="A69" s="28"/>
      <c r="B69" s="28"/>
      <c r="C69" s="89"/>
      <c r="D69" s="28"/>
      <c r="E69" s="89"/>
      <c r="F69" s="28"/>
      <c r="G69" s="28"/>
      <c r="H69" s="28"/>
      <c r="I69" s="36"/>
      <c r="J69" s="28"/>
      <c r="K69" s="36"/>
      <c r="L69" s="91"/>
      <c r="M69" s="91"/>
      <c r="N69" s="28"/>
      <c r="O69" s="28"/>
      <c r="P69" s="90"/>
      <c r="Q69" s="90"/>
      <c r="R69" s="90"/>
      <c r="S69" s="28"/>
      <c r="T69" s="90"/>
      <c r="U69" s="90"/>
      <c r="V69" s="28"/>
      <c r="W69" s="28"/>
      <c r="X69" s="28"/>
      <c r="Y69" s="28"/>
      <c r="Z69" s="28"/>
      <c r="AA69" s="28"/>
      <c r="AB69" s="28"/>
      <c r="AC69" s="28"/>
    </row>
    <row r="70" spans="1:29" ht="25.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1:29" ht="12.75" customHeight="1" x14ac:dyDescent="0.2">
      <c r="A71" s="28"/>
      <c r="B71" s="28"/>
      <c r="C71" s="89"/>
      <c r="D71" s="28"/>
      <c r="E71" s="89"/>
      <c r="F71" s="28"/>
      <c r="G71" s="28"/>
      <c r="H71" s="28"/>
      <c r="I71" s="36"/>
      <c r="J71" s="28"/>
      <c r="K71" s="36"/>
      <c r="L71" s="91"/>
      <c r="M71" s="91"/>
      <c r="N71" s="41"/>
      <c r="O71" s="28"/>
      <c r="P71" s="90"/>
      <c r="Q71" s="90"/>
      <c r="R71" s="90"/>
      <c r="S71" s="28"/>
      <c r="T71" s="90"/>
      <c r="U71" s="90"/>
      <c r="V71" s="28"/>
      <c r="W71" s="28"/>
      <c r="X71" s="28"/>
      <c r="Y71" s="28"/>
      <c r="Z71" s="28"/>
      <c r="AA71" s="28"/>
      <c r="AB71" s="28"/>
      <c r="AC71" s="28"/>
    </row>
    <row r="72" spans="1:29" ht="25.5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1:29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90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1:29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1:29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spans="1:29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1:29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</sheetData>
  <sortState ref="A8:W27">
    <sortCondition ref="S8"/>
  </sortState>
  <mergeCells count="13">
    <mergeCell ref="C3:D3"/>
    <mergeCell ref="E3:F3"/>
    <mergeCell ref="J4:N4"/>
    <mergeCell ref="Q4:U4"/>
    <mergeCell ref="L6:M6"/>
    <mergeCell ref="S6:T6"/>
    <mergeCell ref="J67:N67"/>
    <mergeCell ref="J28:N28"/>
    <mergeCell ref="Q28:U28"/>
    <mergeCell ref="J36:N36"/>
    <mergeCell ref="Q36:U36"/>
    <mergeCell ref="J51:N51"/>
    <mergeCell ref="J59:N5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AC78"/>
  <sheetViews>
    <sheetView zoomScale="80" zoomScaleNormal="80" workbookViewId="0">
      <pane xSplit="1" topLeftCell="B1" activePane="topRight" state="frozen"/>
      <selection pane="topRight" activeCell="E3" sqref="E3:U6"/>
    </sheetView>
  </sheetViews>
  <sheetFormatPr defaultRowHeight="12.6" x14ac:dyDescent="0.2"/>
  <cols>
    <col min="1" max="1" width="38" customWidth="1"/>
    <col min="2" max="2" width="7.6328125" customWidth="1"/>
    <col min="3" max="3" width="4.26953125" customWidth="1"/>
    <col min="5" max="5" width="4.453125" customWidth="1"/>
    <col min="7" max="7" width="10.90625" hidden="1" customWidth="1"/>
    <col min="8" max="8" width="8.26953125" hidden="1" customWidth="1"/>
    <col min="9" max="9" width="11.6328125" customWidth="1"/>
    <col min="10" max="10" width="4.453125" hidden="1" customWidth="1"/>
    <col min="11" max="11" width="12.36328125" hidden="1" customWidth="1"/>
    <col min="12" max="12" width="15" hidden="1" customWidth="1"/>
    <col min="13" max="13" width="9.453125" hidden="1" customWidth="1"/>
    <col min="14" max="14" width="9.36328125" hidden="1" customWidth="1"/>
    <col min="15" max="15" width="10.36328125" customWidth="1"/>
    <col min="16" max="16" width="8.453125" customWidth="1"/>
    <col min="17" max="17" width="4.453125" bestFit="1" customWidth="1"/>
    <col min="18" max="18" width="11.90625" customWidth="1"/>
    <col min="19" max="19" width="14.36328125" customWidth="1"/>
    <col min="20" max="20" width="10.08984375" customWidth="1"/>
    <col min="21" max="21" width="9.36328125" customWidth="1"/>
    <col min="22" max="22" width="40.08984375" customWidth="1"/>
    <col min="23" max="23" width="30.90625" customWidth="1"/>
    <col min="26" max="26" width="11" customWidth="1"/>
    <col min="29" max="29" width="10.90625" customWidth="1"/>
  </cols>
  <sheetData>
    <row r="1" spans="1:28" x14ac:dyDescent="0.2">
      <c r="A1" t="s">
        <v>0</v>
      </c>
      <c r="C1" t="s">
        <v>86</v>
      </c>
    </row>
    <row r="3" spans="1:28" x14ac:dyDescent="0.2">
      <c r="A3" s="45" t="s">
        <v>1</v>
      </c>
      <c r="B3" s="85" t="s">
        <v>82</v>
      </c>
      <c r="C3" s="124" t="s">
        <v>2</v>
      </c>
      <c r="D3" s="124"/>
      <c r="E3" s="134" t="s">
        <v>4</v>
      </c>
      <c r="F3" s="134"/>
      <c r="G3" s="135" t="s">
        <v>31</v>
      </c>
      <c r="H3" s="135"/>
      <c r="I3" s="136" t="s">
        <v>8</v>
      </c>
      <c r="J3" s="137" t="s">
        <v>77</v>
      </c>
      <c r="K3" s="135" t="s">
        <v>78</v>
      </c>
      <c r="L3" s="135" t="s">
        <v>74</v>
      </c>
      <c r="M3" s="135" t="s">
        <v>75</v>
      </c>
      <c r="N3" s="138" t="s">
        <v>76</v>
      </c>
      <c r="O3" s="135" t="s">
        <v>7</v>
      </c>
      <c r="P3" s="135"/>
      <c r="Q3" s="137" t="s">
        <v>77</v>
      </c>
      <c r="R3" s="135" t="s">
        <v>78</v>
      </c>
      <c r="S3" s="135" t="s">
        <v>74</v>
      </c>
      <c r="T3" s="135" t="s">
        <v>75</v>
      </c>
      <c r="U3" s="135" t="s">
        <v>76</v>
      </c>
      <c r="V3" s="48" t="s">
        <v>12</v>
      </c>
      <c r="W3" s="48"/>
      <c r="X3" s="51"/>
      <c r="Y3" s="29"/>
      <c r="Z3" s="29"/>
      <c r="AA3" s="29"/>
      <c r="AB3" s="29"/>
    </row>
    <row r="4" spans="1:28" x14ac:dyDescent="0.2">
      <c r="A4" s="52"/>
      <c r="B4" s="29"/>
      <c r="C4" s="29"/>
      <c r="D4" s="29"/>
      <c r="E4" s="139"/>
      <c r="F4" s="139"/>
      <c r="G4" s="139" t="s">
        <v>5</v>
      </c>
      <c r="H4" s="140" t="s">
        <v>6</v>
      </c>
      <c r="I4" s="139" t="s">
        <v>9</v>
      </c>
      <c r="J4" s="141" t="s">
        <v>80</v>
      </c>
      <c r="K4" s="141"/>
      <c r="L4" s="141"/>
      <c r="M4" s="141"/>
      <c r="N4" s="142"/>
      <c r="O4" s="139" t="s">
        <v>5</v>
      </c>
      <c r="P4" s="140" t="s">
        <v>6</v>
      </c>
      <c r="Q4" s="141" t="s">
        <v>81</v>
      </c>
      <c r="R4" s="141"/>
      <c r="S4" s="141"/>
      <c r="T4" s="141"/>
      <c r="U4" s="141"/>
      <c r="V4" s="29"/>
      <c r="W4" s="29"/>
      <c r="X4" s="53"/>
      <c r="Y4" s="29"/>
      <c r="Z4" s="29"/>
      <c r="AA4" s="29"/>
      <c r="AB4" s="29"/>
    </row>
    <row r="5" spans="1:28" hidden="1" x14ac:dyDescent="0.2">
      <c r="A5" s="52"/>
      <c r="B5" s="29"/>
      <c r="C5" s="29"/>
      <c r="D5" s="84"/>
      <c r="E5" s="139"/>
      <c r="F5" s="140"/>
      <c r="G5" s="139"/>
      <c r="H5" s="140"/>
      <c r="I5" s="139"/>
      <c r="J5" s="139"/>
      <c r="K5" s="139"/>
      <c r="L5" s="139"/>
      <c r="M5" s="139"/>
      <c r="N5" s="143"/>
      <c r="O5" s="139"/>
      <c r="P5" s="139"/>
      <c r="Q5" s="139"/>
      <c r="R5" s="139"/>
      <c r="S5" s="139"/>
      <c r="T5" s="139"/>
      <c r="U5" s="139"/>
      <c r="V5" s="29"/>
      <c r="W5" s="29"/>
      <c r="X5" s="53"/>
      <c r="Y5" s="29"/>
      <c r="Z5" s="29"/>
      <c r="AA5" s="29"/>
      <c r="AB5" s="29"/>
    </row>
    <row r="6" spans="1:28" x14ac:dyDescent="0.2">
      <c r="A6" s="52"/>
      <c r="B6" s="84" t="s">
        <v>83</v>
      </c>
      <c r="C6" s="29"/>
      <c r="D6" s="84" t="s">
        <v>3</v>
      </c>
      <c r="E6" s="139"/>
      <c r="F6" s="140" t="s">
        <v>3</v>
      </c>
      <c r="G6" s="139" t="s">
        <v>3</v>
      </c>
      <c r="H6" s="140" t="s">
        <v>3</v>
      </c>
      <c r="I6" s="139" t="s">
        <v>84</v>
      </c>
      <c r="J6" s="139"/>
      <c r="K6" s="144" t="s">
        <v>84</v>
      </c>
      <c r="L6" s="145" t="s">
        <v>85</v>
      </c>
      <c r="M6" s="145"/>
      <c r="N6" s="143"/>
      <c r="O6" s="139" t="s">
        <v>3</v>
      </c>
      <c r="P6" s="139" t="s">
        <v>3</v>
      </c>
      <c r="Q6" s="139"/>
      <c r="R6" s="139" t="s">
        <v>84</v>
      </c>
      <c r="S6" s="145" t="s">
        <v>85</v>
      </c>
      <c r="T6" s="145"/>
      <c r="U6" s="139"/>
      <c r="V6" s="29"/>
      <c r="W6" s="29"/>
      <c r="X6" s="53"/>
      <c r="Y6" s="29"/>
      <c r="Z6" s="29"/>
      <c r="AA6" s="29"/>
      <c r="AB6" s="29"/>
    </row>
    <row r="7" spans="1:28" ht="12.75" hidden="1" customHeight="1" x14ac:dyDescent="0.2">
      <c r="A7" s="52"/>
      <c r="B7" s="29"/>
      <c r="C7" s="84"/>
      <c r="D7" s="29"/>
      <c r="E7" s="84"/>
      <c r="F7" s="29"/>
      <c r="G7" s="29"/>
      <c r="H7" s="29"/>
      <c r="I7" s="31"/>
      <c r="J7" s="29"/>
      <c r="K7" s="31"/>
      <c r="L7" s="33"/>
      <c r="M7" s="33"/>
      <c r="N7" s="102"/>
      <c r="O7" s="29"/>
      <c r="P7" s="29"/>
      <c r="Q7" s="29"/>
      <c r="R7" s="31"/>
      <c r="S7" s="33"/>
      <c r="T7" s="33"/>
      <c r="U7" s="33"/>
      <c r="V7" s="29"/>
      <c r="W7" s="72"/>
      <c r="X7" s="53"/>
      <c r="Y7" s="72"/>
      <c r="Z7" s="72"/>
      <c r="AA7" s="29"/>
      <c r="AB7" s="29"/>
    </row>
    <row r="8" spans="1:28" ht="25.5" customHeight="1" x14ac:dyDescent="0.2">
      <c r="A8" s="52" t="s">
        <v>40</v>
      </c>
      <c r="B8" s="28">
        <v>140</v>
      </c>
      <c r="C8" s="84" t="s">
        <v>43</v>
      </c>
      <c r="D8" s="29">
        <v>354</v>
      </c>
      <c r="E8" s="84" t="s">
        <v>11</v>
      </c>
      <c r="F8" s="29">
        <v>45</v>
      </c>
      <c r="G8" s="33">
        <f>54.8/B8*1000</f>
        <v>391.42857142857139</v>
      </c>
      <c r="H8" s="33">
        <f>-1.5/B8*1000</f>
        <v>-10.714285714285714</v>
      </c>
      <c r="I8" s="31">
        <f>604000/B8</f>
        <v>4314.2857142857147</v>
      </c>
      <c r="J8" s="29">
        <v>10</v>
      </c>
      <c r="K8" s="31">
        <f>582000/B8</f>
        <v>4157.1428571428569</v>
      </c>
      <c r="L8" s="33">
        <f>28.8/B8*1000</f>
        <v>205.71428571428572</v>
      </c>
      <c r="M8" s="33">
        <f>15.3/B8*1000</f>
        <v>109.28571428571429</v>
      </c>
      <c r="N8" s="105">
        <v>1.9</v>
      </c>
      <c r="O8" s="41">
        <f>54.8/B8*1000</f>
        <v>391.42857142857139</v>
      </c>
      <c r="P8" s="33">
        <f>-1.8/B8*1000</f>
        <v>-12.857142857142858</v>
      </c>
      <c r="Q8" s="29">
        <v>10</v>
      </c>
      <c r="R8" s="36">
        <f>573000/B8</f>
        <v>4092.8571428571427</v>
      </c>
      <c r="S8" s="33">
        <f>28.8/B8*1000</f>
        <v>205.71428571428572</v>
      </c>
      <c r="T8" s="76">
        <f>15.1/B8*1000</f>
        <v>107.85714285714286</v>
      </c>
      <c r="U8" s="33">
        <v>1.9</v>
      </c>
      <c r="V8" s="107" t="s">
        <v>71</v>
      </c>
      <c r="W8" s="29" t="s">
        <v>65</v>
      </c>
      <c r="X8" s="53"/>
      <c r="Y8" s="72"/>
      <c r="Z8" s="72"/>
      <c r="AA8" s="29"/>
      <c r="AB8" s="29"/>
    </row>
    <row r="9" spans="1:28" ht="12.75" hidden="1" customHeight="1" x14ac:dyDescent="0.2">
      <c r="A9" s="52"/>
      <c r="B9" s="29"/>
      <c r="C9" s="84"/>
      <c r="D9" s="29"/>
      <c r="E9" s="84"/>
      <c r="F9" s="29"/>
      <c r="G9" s="33"/>
      <c r="H9" s="33"/>
      <c r="I9" s="31"/>
      <c r="J9" s="29"/>
      <c r="K9" s="31"/>
      <c r="L9" s="33"/>
      <c r="M9" s="33"/>
      <c r="N9" s="102"/>
      <c r="O9" s="41"/>
      <c r="P9" s="33"/>
      <c r="Q9" s="31"/>
      <c r="R9" s="36"/>
      <c r="S9" s="33"/>
      <c r="T9" s="76"/>
      <c r="U9" s="33"/>
      <c r="V9" s="29"/>
      <c r="W9" s="29"/>
      <c r="X9" s="53"/>
      <c r="Y9" s="72"/>
      <c r="Z9" s="72"/>
      <c r="AA9" s="29"/>
      <c r="AB9" s="29"/>
    </row>
    <row r="10" spans="1:28" ht="25.5" customHeight="1" x14ac:dyDescent="0.2">
      <c r="A10" s="52" t="s">
        <v>70</v>
      </c>
      <c r="B10" s="29">
        <v>140</v>
      </c>
      <c r="C10" s="84" t="s">
        <v>43</v>
      </c>
      <c r="D10" s="29">
        <v>354</v>
      </c>
      <c r="E10" s="84" t="s">
        <v>60</v>
      </c>
      <c r="F10" s="29">
        <v>81</v>
      </c>
      <c r="G10" s="33">
        <f>38.5/B10*1000</f>
        <v>275</v>
      </c>
      <c r="H10" s="33">
        <f>3.4/B10*1000</f>
        <v>24.285714285714285</v>
      </c>
      <c r="I10" s="31">
        <f>434000/B10</f>
        <v>3100</v>
      </c>
      <c r="J10" s="29">
        <v>8</v>
      </c>
      <c r="K10" s="31">
        <f>599000/B10</f>
        <v>4278.5714285714284</v>
      </c>
      <c r="L10" s="33">
        <f>14.4/B10*1000</f>
        <v>102.85714285714286</v>
      </c>
      <c r="M10" s="33">
        <f>14.6/B10*1000</f>
        <v>104.28571428571429</v>
      </c>
      <c r="N10" s="102">
        <v>1</v>
      </c>
      <c r="O10" s="41">
        <f>37.6/B10*1000</f>
        <v>268.57142857142856</v>
      </c>
      <c r="P10" s="33">
        <f>3.4/B10*1000</f>
        <v>24.285714285714285</v>
      </c>
      <c r="Q10" s="29">
        <v>9</v>
      </c>
      <c r="R10" s="36">
        <f>577000/B10</f>
        <v>4121.4285714285716</v>
      </c>
      <c r="S10" s="33">
        <f>14.4/B10*1000</f>
        <v>102.85714285714286</v>
      </c>
      <c r="T10" s="76">
        <f>14.4/B10*1000</f>
        <v>102.85714285714286</v>
      </c>
      <c r="U10" s="33">
        <v>1</v>
      </c>
      <c r="V10" s="34" t="s">
        <v>72</v>
      </c>
      <c r="W10" s="29" t="s">
        <v>79</v>
      </c>
      <c r="X10" s="53"/>
      <c r="Y10" s="72"/>
      <c r="Z10" s="72"/>
      <c r="AA10" s="29"/>
      <c r="AB10" s="29"/>
    </row>
    <row r="11" spans="1:28" ht="12.75" hidden="1" customHeight="1" x14ac:dyDescent="0.2">
      <c r="A11" s="52"/>
      <c r="B11" s="29"/>
      <c r="C11" s="84"/>
      <c r="D11" s="29"/>
      <c r="E11" s="84"/>
      <c r="F11" s="29"/>
      <c r="G11" s="33"/>
      <c r="H11" s="33"/>
      <c r="I11" s="31"/>
      <c r="J11" s="29"/>
      <c r="K11" s="31"/>
      <c r="L11" s="33"/>
      <c r="M11" s="33"/>
      <c r="N11" s="102"/>
      <c r="O11" s="41"/>
      <c r="P11" s="33"/>
      <c r="Q11" s="31"/>
      <c r="R11" s="36"/>
      <c r="S11" s="33"/>
      <c r="T11" s="76"/>
      <c r="U11" s="33"/>
      <c r="V11" s="29"/>
      <c r="W11" s="29"/>
      <c r="X11" s="53"/>
      <c r="Y11" s="72"/>
      <c r="Z11" s="72"/>
      <c r="AA11" s="29"/>
      <c r="AB11" s="29"/>
    </row>
    <row r="12" spans="1:28" ht="25.5" customHeight="1" x14ac:dyDescent="0.2">
      <c r="A12" s="55" t="s">
        <v>42</v>
      </c>
      <c r="B12" s="57">
        <v>140</v>
      </c>
      <c r="C12" s="56" t="s">
        <v>38</v>
      </c>
      <c r="D12" s="57">
        <v>256</v>
      </c>
      <c r="E12" s="56" t="s">
        <v>11</v>
      </c>
      <c r="F12" s="57">
        <v>49</v>
      </c>
      <c r="G12" s="59">
        <f>39.8/B12*1000</f>
        <v>284.28571428571428</v>
      </c>
      <c r="H12" s="59">
        <f>-1.7/B12*1000</f>
        <v>-12.142857142857142</v>
      </c>
      <c r="I12" s="58">
        <f>566000/B12</f>
        <v>4042.8571428571427</v>
      </c>
      <c r="J12" s="57">
        <v>14</v>
      </c>
      <c r="K12" s="58">
        <f>216000/B12</f>
        <v>1542.8571428571429</v>
      </c>
      <c r="L12" s="69">
        <f>27/B12*1000</f>
        <v>192.85714285714286</v>
      </c>
      <c r="M12" s="69">
        <f>10.7/B12*1000</f>
        <v>76.428571428571431</v>
      </c>
      <c r="N12" s="103">
        <v>2.5</v>
      </c>
      <c r="O12" s="69">
        <f>39.8/B12*1000</f>
        <v>284.28571428571428</v>
      </c>
      <c r="P12" s="59">
        <f>-2/B12*1000</f>
        <v>-14.285714285714285</v>
      </c>
      <c r="Q12" s="58">
        <v>14</v>
      </c>
      <c r="R12" s="100">
        <f>208000/B12</f>
        <v>1485.7142857142858</v>
      </c>
      <c r="S12" s="59">
        <f>27/B12*1000</f>
        <v>192.85714285714286</v>
      </c>
      <c r="T12" s="77">
        <f>10.5/B12*1000</f>
        <v>75</v>
      </c>
      <c r="U12" s="59">
        <v>2.6</v>
      </c>
      <c r="V12" s="60" t="s">
        <v>71</v>
      </c>
      <c r="W12" s="29" t="s">
        <v>65</v>
      </c>
      <c r="X12" s="65"/>
      <c r="Y12" s="72"/>
      <c r="Z12" s="72"/>
      <c r="AA12" s="29"/>
      <c r="AB12" s="29"/>
    </row>
    <row r="13" spans="1:28" ht="25.5" customHeight="1" x14ac:dyDescent="0.2">
      <c r="A13" s="45" t="s">
        <v>68</v>
      </c>
      <c r="B13" s="80">
        <v>140</v>
      </c>
      <c r="C13" s="85" t="s">
        <v>38</v>
      </c>
      <c r="D13" s="48">
        <v>256</v>
      </c>
      <c r="E13" s="85" t="s">
        <v>60</v>
      </c>
      <c r="F13" s="48">
        <v>84</v>
      </c>
      <c r="G13" s="97">
        <f>22.8/B13*1000</f>
        <v>162.85714285714286</v>
      </c>
      <c r="H13" s="97">
        <f>3.4/B13*1000</f>
        <v>24.285714285714285</v>
      </c>
      <c r="I13" s="93">
        <f>396000/B13</f>
        <v>2828.5714285714284</v>
      </c>
      <c r="J13" s="48">
        <v>12</v>
      </c>
      <c r="K13" s="93">
        <f>250000/B13</f>
        <v>1785.7142857142858</v>
      </c>
      <c r="L13" s="106">
        <f>12.5/B13*1000</f>
        <v>89.285714285714292</v>
      </c>
      <c r="M13" s="106">
        <f>10/B13*1000</f>
        <v>71.428571428571431</v>
      </c>
      <c r="N13" s="101">
        <v>1.3</v>
      </c>
      <c r="O13" s="106">
        <f>21.8/B13*1000</f>
        <v>155.71428571428572</v>
      </c>
      <c r="P13" s="97">
        <f>3.4/B13*1000</f>
        <v>24.285714285714285</v>
      </c>
      <c r="Q13" s="93">
        <v>13</v>
      </c>
      <c r="R13" s="99">
        <f>226000/B13</f>
        <v>1614.2857142857142</v>
      </c>
      <c r="S13" s="97">
        <f>12.5/B13*1000</f>
        <v>89.285714285714292</v>
      </c>
      <c r="T13" s="114">
        <f>9.8/B13*1000</f>
        <v>70</v>
      </c>
      <c r="U13" s="97">
        <v>1.3</v>
      </c>
      <c r="V13" s="108" t="s">
        <v>72</v>
      </c>
      <c r="W13" s="48" t="s">
        <v>79</v>
      </c>
      <c r="X13" s="51"/>
      <c r="Y13" s="72"/>
      <c r="Z13" s="72"/>
      <c r="AA13" s="29"/>
      <c r="AB13" s="29"/>
    </row>
    <row r="14" spans="1:28" ht="25.5" customHeight="1" x14ac:dyDescent="0.2">
      <c r="A14" s="52" t="s">
        <v>34</v>
      </c>
      <c r="B14" s="28">
        <v>216</v>
      </c>
      <c r="C14" s="84" t="s">
        <v>38</v>
      </c>
      <c r="D14" s="29">
        <v>282</v>
      </c>
      <c r="E14" s="84" t="s">
        <v>11</v>
      </c>
      <c r="F14" s="29">
        <v>78</v>
      </c>
      <c r="G14" s="33">
        <f>54/B14*1000</f>
        <v>250</v>
      </c>
      <c r="H14" s="33">
        <f>2.1/B14*1000</f>
        <v>9.7222222222222232</v>
      </c>
      <c r="I14" s="31">
        <f>766000/B14</f>
        <v>3546.2962962962961</v>
      </c>
      <c r="J14" s="29">
        <v>20</v>
      </c>
      <c r="K14" s="36">
        <f>207000/B14</f>
        <v>958.33333333333337</v>
      </c>
      <c r="L14" s="32">
        <f>10.3/B14*1000</f>
        <v>47.68518518518519</v>
      </c>
      <c r="M14" s="32">
        <f>13.5/B14*1000</f>
        <v>62.5</v>
      </c>
      <c r="N14" s="102">
        <v>0.8</v>
      </c>
      <c r="O14" s="41">
        <f>52.8/B14*1000</f>
        <v>244.44444444444443</v>
      </c>
      <c r="P14" s="33">
        <f>2.1/B14*1000</f>
        <v>9.7222222222222232</v>
      </c>
      <c r="Q14" s="29">
        <v>20</v>
      </c>
      <c r="R14" s="36">
        <f>202000/B14</f>
        <v>935.18518518518522</v>
      </c>
      <c r="S14" s="32">
        <f>10.3/B14*1000</f>
        <v>47.68518518518519</v>
      </c>
      <c r="T14" s="78">
        <f>13.3/B14*1000</f>
        <v>61.574074074074076</v>
      </c>
      <c r="U14" s="29">
        <v>0.8</v>
      </c>
      <c r="V14" s="34" t="s">
        <v>14</v>
      </c>
      <c r="W14" s="29" t="s">
        <v>65</v>
      </c>
      <c r="X14" s="53"/>
      <c r="Y14" s="83"/>
      <c r="Z14" s="83"/>
      <c r="AA14" s="29"/>
      <c r="AB14" s="29"/>
    </row>
    <row r="15" spans="1:28" ht="25.5" customHeight="1" x14ac:dyDescent="0.2">
      <c r="A15" s="55" t="s">
        <v>28</v>
      </c>
      <c r="B15" s="57">
        <v>144</v>
      </c>
      <c r="C15" s="56" t="s">
        <v>32</v>
      </c>
      <c r="D15" s="57">
        <v>202</v>
      </c>
      <c r="E15" s="56" t="s">
        <v>11</v>
      </c>
      <c r="F15" s="57">
        <v>38</v>
      </c>
      <c r="G15" s="59">
        <f>31.7/B15*1000</f>
        <v>220.13888888888889</v>
      </c>
      <c r="H15" s="59">
        <f>-2.1/B15*1000</f>
        <v>-14.583333333333334</v>
      </c>
      <c r="I15" s="58">
        <f>523000/B15</f>
        <v>3631.9444444444443</v>
      </c>
      <c r="J15" s="57">
        <v>15</v>
      </c>
      <c r="K15" s="58">
        <f>267000/B15</f>
        <v>1854.1666666666667</v>
      </c>
      <c r="L15" s="59">
        <f>30.5/B15*1000</f>
        <v>211.80555555555554</v>
      </c>
      <c r="M15" s="59">
        <f>8.1/B15*1000</f>
        <v>56.249999999999993</v>
      </c>
      <c r="N15" s="103">
        <v>3.8</v>
      </c>
      <c r="O15" s="69">
        <f>31.7/B15*1000</f>
        <v>220.13888888888889</v>
      </c>
      <c r="P15" s="59">
        <f>-2.2/B15*1000</f>
        <v>-15.277777777777779</v>
      </c>
      <c r="Q15" s="57">
        <v>15</v>
      </c>
      <c r="R15" s="100">
        <f>265000/B15</f>
        <v>1840.2777777777778</v>
      </c>
      <c r="S15" s="59">
        <f>30.5/B15*1000</f>
        <v>211.80555555555554</v>
      </c>
      <c r="T15" s="77">
        <f>8/B15*1000</f>
        <v>55.55555555555555</v>
      </c>
      <c r="U15" s="59">
        <v>3.8</v>
      </c>
      <c r="V15" s="60" t="s">
        <v>14</v>
      </c>
      <c r="W15" s="57" t="s">
        <v>65</v>
      </c>
      <c r="X15" s="65"/>
      <c r="Y15" s="72"/>
      <c r="Z15" s="72"/>
      <c r="AA15" s="29"/>
      <c r="AB15" s="29"/>
    </row>
    <row r="16" spans="1:28" ht="25.5" customHeight="1" x14ac:dyDescent="0.2">
      <c r="A16" s="45" t="s">
        <v>36</v>
      </c>
      <c r="B16" s="48">
        <v>216</v>
      </c>
      <c r="C16" s="85" t="s">
        <v>38</v>
      </c>
      <c r="D16" s="48">
        <v>282</v>
      </c>
      <c r="E16" s="85" t="s">
        <v>10</v>
      </c>
      <c r="F16" s="48">
        <v>106</v>
      </c>
      <c r="G16" s="97">
        <f>45.8/B16*1000</f>
        <v>212.03703703703701</v>
      </c>
      <c r="H16" s="97">
        <f>2.1/B16*1000</f>
        <v>9.7222222222222232</v>
      </c>
      <c r="I16" s="93">
        <f>469000/B16</f>
        <v>2171.2962962962961</v>
      </c>
      <c r="J16" s="48">
        <v>14</v>
      </c>
      <c r="K16" s="99">
        <f>244000/B16</f>
        <v>1129.6296296296296</v>
      </c>
      <c r="L16" s="95">
        <f>5.8/B16*1000</f>
        <v>26.851851851851851</v>
      </c>
      <c r="M16" s="95">
        <f>11.7/B16*1000</f>
        <v>54.166666666666664</v>
      </c>
      <c r="N16" s="101">
        <v>0.5</v>
      </c>
      <c r="O16" s="106">
        <f>43.8/B16*1000</f>
        <v>202.77777777777774</v>
      </c>
      <c r="P16" s="97">
        <f>2.1/B16*1000</f>
        <v>9.7222222222222232</v>
      </c>
      <c r="Q16" s="48">
        <v>14</v>
      </c>
      <c r="R16" s="99">
        <f>242000/B16</f>
        <v>1120.3703703703704</v>
      </c>
      <c r="S16" s="95">
        <f>5.8/B16*1000</f>
        <v>26.851851851851851</v>
      </c>
      <c r="T16" s="115">
        <f>11.2/B16*1000</f>
        <v>51.851851851851848</v>
      </c>
      <c r="U16" s="48">
        <v>0.5</v>
      </c>
      <c r="V16" s="98" t="s">
        <v>13</v>
      </c>
      <c r="W16" s="48" t="s">
        <v>73</v>
      </c>
      <c r="X16" s="51"/>
      <c r="Y16" s="72"/>
      <c r="Z16" s="72"/>
      <c r="AA16" s="29"/>
      <c r="AB16" s="29"/>
    </row>
    <row r="17" spans="1:29" ht="25.5" customHeight="1" x14ac:dyDescent="0.2">
      <c r="A17" s="55" t="s">
        <v>57</v>
      </c>
      <c r="B17" s="57">
        <v>334</v>
      </c>
      <c r="C17" s="56" t="s">
        <v>32</v>
      </c>
      <c r="D17" s="57">
        <v>220</v>
      </c>
      <c r="E17" s="56" t="s">
        <v>60</v>
      </c>
      <c r="F17" s="57">
        <v>92</v>
      </c>
      <c r="G17" s="59">
        <f>46.9/B17*1000</f>
        <v>140.4191616766467</v>
      </c>
      <c r="H17" s="59">
        <f>3.8/B17*1000</f>
        <v>11.377245508982035</v>
      </c>
      <c r="I17" s="58">
        <f>1611000/B17</f>
        <v>4823.3532934131736</v>
      </c>
      <c r="J17" s="57">
        <v>44</v>
      </c>
      <c r="K17" s="100">
        <f>-114000/B17</f>
        <v>-341.31736526946105</v>
      </c>
      <c r="L17" s="59">
        <f>14.7/B17*1000</f>
        <v>44.011976047904191</v>
      </c>
      <c r="M17" s="59">
        <f>13/B17*1000</f>
        <v>38.922155688622759</v>
      </c>
      <c r="N17" s="111">
        <v>1.1000000000000001</v>
      </c>
      <c r="O17" s="69">
        <f>44.9/B17*1000</f>
        <v>134.43113772455089</v>
      </c>
      <c r="P17" s="59">
        <f>3.8/B17*1000</f>
        <v>11.377245508982035</v>
      </c>
      <c r="Q17" s="57">
        <v>44</v>
      </c>
      <c r="R17" s="100">
        <f>-120000/B17</f>
        <v>-359.28143712574848</v>
      </c>
      <c r="S17" s="59">
        <f>14.7/B17*1000</f>
        <v>44.011976047904191</v>
      </c>
      <c r="T17" s="77">
        <f>12.6/B17*1000</f>
        <v>37.724550898203589</v>
      </c>
      <c r="U17" s="59">
        <v>1.2</v>
      </c>
      <c r="V17" s="60" t="s">
        <v>14</v>
      </c>
      <c r="W17" s="57" t="s">
        <v>65</v>
      </c>
      <c r="X17" s="65"/>
      <c r="Y17" s="72"/>
      <c r="Z17" s="72"/>
      <c r="AA17" s="29"/>
      <c r="AB17" s="29"/>
    </row>
    <row r="18" spans="1:29" ht="25.5" customHeight="1" x14ac:dyDescent="0.2">
      <c r="A18" s="45" t="s">
        <v>30</v>
      </c>
      <c r="B18" s="48">
        <v>144</v>
      </c>
      <c r="C18" s="85" t="s">
        <v>32</v>
      </c>
      <c r="D18" s="48">
        <v>202</v>
      </c>
      <c r="E18" s="85" t="s">
        <v>10</v>
      </c>
      <c r="F18" s="48">
        <v>119</v>
      </c>
      <c r="G18" s="97">
        <f>31.7/B18*1000</f>
        <v>220.13888888888889</v>
      </c>
      <c r="H18" s="97">
        <f>-6.7/B18*1000</f>
        <v>-46.527777777777779</v>
      </c>
      <c r="I18" s="93">
        <f>332000/B18</f>
        <v>2305.5555555555557</v>
      </c>
      <c r="J18" s="48">
        <v>14</v>
      </c>
      <c r="K18" s="93">
        <f>185000/B18</f>
        <v>1284.7222222222222</v>
      </c>
      <c r="L18" s="97">
        <f>17.1/B18*1000</f>
        <v>118.75000000000001</v>
      </c>
      <c r="M18" s="97">
        <f>5.2/B18*1000</f>
        <v>36.111111111111114</v>
      </c>
      <c r="N18" s="101">
        <v>3.3</v>
      </c>
      <c r="O18" s="106">
        <f>31.7/B18*1000</f>
        <v>220.13888888888889</v>
      </c>
      <c r="P18" s="97">
        <f>-7.1/B18*1000</f>
        <v>-49.305555555555557</v>
      </c>
      <c r="Q18" s="93">
        <v>14</v>
      </c>
      <c r="R18" s="99">
        <f>176000/B18</f>
        <v>1222.2222222222222</v>
      </c>
      <c r="S18" s="97">
        <f>17.1/B18*1000</f>
        <v>118.75000000000001</v>
      </c>
      <c r="T18" s="114">
        <f>5/B18*1000</f>
        <v>34.722222222222221</v>
      </c>
      <c r="U18" s="97">
        <v>3.4</v>
      </c>
      <c r="V18" s="98" t="s">
        <v>33</v>
      </c>
      <c r="W18" s="48" t="s">
        <v>62</v>
      </c>
      <c r="X18" s="51"/>
      <c r="Y18" s="72"/>
      <c r="Z18" s="72"/>
      <c r="AA18" s="29"/>
      <c r="AB18" s="29"/>
    </row>
    <row r="19" spans="1:29" ht="25.5" customHeight="1" x14ac:dyDescent="0.2">
      <c r="A19" s="52" t="s">
        <v>59</v>
      </c>
      <c r="B19" s="29">
        <v>334</v>
      </c>
      <c r="C19" s="84" t="s">
        <v>32</v>
      </c>
      <c r="D19" s="29">
        <v>220</v>
      </c>
      <c r="E19" s="84" t="s">
        <v>10</v>
      </c>
      <c r="F19" s="29">
        <v>104</v>
      </c>
      <c r="G19" s="33">
        <f>41.2/B19*1000</f>
        <v>123.35329341317366</v>
      </c>
      <c r="H19" s="33">
        <f>3.8/B19*1000</f>
        <v>11.377245508982035</v>
      </c>
      <c r="I19" s="31">
        <f>809000/B19</f>
        <v>2422.1556886227545</v>
      </c>
      <c r="J19" s="29">
        <v>24</v>
      </c>
      <c r="K19" s="36">
        <f>-22000/B19</f>
        <v>-65.868263473053887</v>
      </c>
      <c r="L19" s="33">
        <f>10.9/B19*1000</f>
        <v>32.634730538922156</v>
      </c>
      <c r="M19" s="33">
        <f>11.7/B19*1000</f>
        <v>35.029940119760475</v>
      </c>
      <c r="N19" s="102">
        <v>0.9</v>
      </c>
      <c r="O19" s="41">
        <f>38.6/B19*1000</f>
        <v>115.56886227544911</v>
      </c>
      <c r="P19" s="33">
        <f>3.8/B19*1000</f>
        <v>11.377245508982035</v>
      </c>
      <c r="Q19" s="29">
        <v>24</v>
      </c>
      <c r="R19" s="36">
        <f>-27000/B19</f>
        <v>-80.838323353293418</v>
      </c>
      <c r="S19" s="33">
        <f>10.9/B19*1000</f>
        <v>32.634730538922156</v>
      </c>
      <c r="T19" s="76">
        <f>11.1/B19*1000</f>
        <v>33.23353293413173</v>
      </c>
      <c r="U19" s="29">
        <v>1</v>
      </c>
      <c r="V19" s="34" t="s">
        <v>66</v>
      </c>
      <c r="W19" s="29" t="s">
        <v>62</v>
      </c>
      <c r="X19" s="53"/>
      <c r="Y19" s="83"/>
      <c r="Z19" s="29"/>
      <c r="AA19" s="29"/>
      <c r="AB19" s="29"/>
    </row>
    <row r="20" spans="1:29" ht="25.5" customHeight="1" x14ac:dyDescent="0.2">
      <c r="A20" s="52" t="s">
        <v>45</v>
      </c>
      <c r="B20" s="29">
        <v>1525</v>
      </c>
      <c r="C20" s="84" t="s">
        <v>38</v>
      </c>
      <c r="D20" s="29">
        <v>220</v>
      </c>
      <c r="E20" s="84" t="s">
        <v>10</v>
      </c>
      <c r="F20" s="29">
        <v>120</v>
      </c>
      <c r="G20" s="33">
        <f>160.6/B20*1000</f>
        <v>105.31147540983605</v>
      </c>
      <c r="H20" s="33">
        <f>14.5/B20*1000</f>
        <v>9.5081967213114762</v>
      </c>
      <c r="I20" s="31">
        <f>2945000/B20</f>
        <v>1931.1475409836066</v>
      </c>
      <c r="J20" s="29">
        <v>23</v>
      </c>
      <c r="K20" s="36">
        <f>3000/B20</f>
        <v>1.9672131147540983</v>
      </c>
      <c r="L20" s="32">
        <f>52/B20*1000</f>
        <v>34.098360655737707</v>
      </c>
      <c r="M20" s="32">
        <f>45.5/B20*1000</f>
        <v>29.83606557377049</v>
      </c>
      <c r="N20" s="102">
        <v>1.1000000000000001</v>
      </c>
      <c r="O20" s="41">
        <f>139.1/B20*1000</f>
        <v>91.213114754098356</v>
      </c>
      <c r="P20" s="33">
        <f>14.5/B20*1000</f>
        <v>9.5081967213114762</v>
      </c>
      <c r="Q20" s="29">
        <v>23</v>
      </c>
      <c r="R20" s="36">
        <f>-24000/B20</f>
        <v>-15.737704918032787</v>
      </c>
      <c r="S20" s="32">
        <f>52/B20*1000</f>
        <v>34.098360655737707</v>
      </c>
      <c r="T20" s="78">
        <f>40.6/B20*1000</f>
        <v>26.622950819672131</v>
      </c>
      <c r="U20" s="29">
        <v>1.3</v>
      </c>
      <c r="V20" s="34" t="s">
        <v>14</v>
      </c>
      <c r="W20" s="29" t="s">
        <v>65</v>
      </c>
      <c r="X20" s="53"/>
      <c r="Y20" s="83"/>
      <c r="Z20" s="29"/>
      <c r="AA20" s="29"/>
      <c r="AB20" s="29"/>
    </row>
    <row r="21" spans="1:29" ht="25.5" customHeight="1" x14ac:dyDescent="0.2">
      <c r="A21" s="55" t="s">
        <v>19</v>
      </c>
      <c r="B21" s="57">
        <v>1980</v>
      </c>
      <c r="C21" s="56" t="s">
        <v>18</v>
      </c>
      <c r="D21" s="57">
        <v>139</v>
      </c>
      <c r="E21" s="56" t="s">
        <v>11</v>
      </c>
      <c r="F21" s="57">
        <v>47</v>
      </c>
      <c r="G21" s="59">
        <f>211.5/B21*1000</f>
        <v>106.81818181818181</v>
      </c>
      <c r="H21" s="59">
        <f>10.4/B21*1000</f>
        <v>5.2525252525252526</v>
      </c>
      <c r="I21" s="58">
        <f>5604000/B21</f>
        <v>2830.3030303030305</v>
      </c>
      <c r="J21" s="57">
        <v>38</v>
      </c>
      <c r="K21" s="58">
        <f>-279000/B21</f>
        <v>-140.90909090909091</v>
      </c>
      <c r="L21" s="59">
        <f>66.4/B21*1000</f>
        <v>33.535353535353536</v>
      </c>
      <c r="M21" s="59">
        <f>54.5/B21*1000</f>
        <v>27.525252525252526</v>
      </c>
      <c r="N21" s="103">
        <v>1.2</v>
      </c>
      <c r="O21" s="69">
        <f>202.7/B21*1000</f>
        <v>102.37373737373737</v>
      </c>
      <c r="P21" s="59">
        <f>10.4/B21*1000</f>
        <v>5.2525252525252526</v>
      </c>
      <c r="Q21" s="57">
        <v>39</v>
      </c>
      <c r="R21" s="100">
        <f>-355000/B21</f>
        <v>-179.2929292929293</v>
      </c>
      <c r="S21" s="59">
        <f>66.4/B21*1000</f>
        <v>33.535353535353536</v>
      </c>
      <c r="T21" s="77">
        <f>52.5/B21*1000</f>
        <v>26.515151515151516</v>
      </c>
      <c r="U21" s="59">
        <v>1.3</v>
      </c>
      <c r="V21" s="60" t="s">
        <v>14</v>
      </c>
      <c r="W21" s="29" t="s">
        <v>65</v>
      </c>
      <c r="X21" s="65"/>
      <c r="Y21" s="72"/>
      <c r="Z21" s="72"/>
      <c r="AA21" s="29"/>
      <c r="AB21" s="29"/>
    </row>
    <row r="22" spans="1:29" ht="25.5" customHeight="1" x14ac:dyDescent="0.2">
      <c r="A22" s="45" t="s">
        <v>48</v>
      </c>
      <c r="B22" s="48">
        <v>1525</v>
      </c>
      <c r="C22" s="85" t="s">
        <v>38</v>
      </c>
      <c r="D22" s="48">
        <v>220</v>
      </c>
      <c r="E22" s="85" t="s">
        <v>10</v>
      </c>
      <c r="F22" s="48">
        <v>128</v>
      </c>
      <c r="G22" s="97">
        <f>143.2/B22*1000</f>
        <v>93.901639344262293</v>
      </c>
      <c r="H22" s="97">
        <f>14.5/B22*1000</f>
        <v>9.5081967213114762</v>
      </c>
      <c r="I22" s="93">
        <f>1617000/B22</f>
        <v>1060.327868852459</v>
      </c>
      <c r="J22" s="48">
        <v>14</v>
      </c>
      <c r="K22" s="99">
        <f>520000/B22</f>
        <v>340.98360655737707</v>
      </c>
      <c r="L22" s="95">
        <f>45/B22*1000</f>
        <v>29.508196721311478</v>
      </c>
      <c r="M22" s="95">
        <f>41.5/B22*1000</f>
        <v>27.21311475409836</v>
      </c>
      <c r="N22" s="110">
        <v>1.1000000000000001</v>
      </c>
      <c r="O22" s="106">
        <f>120/B22*1000</f>
        <v>78.688524590163937</v>
      </c>
      <c r="P22" s="97">
        <f>14.5/B22*1000</f>
        <v>9.5081967213114762</v>
      </c>
      <c r="Q22" s="48">
        <v>14</v>
      </c>
      <c r="R22" s="99">
        <f>505000/B22</f>
        <v>331.14754098360658</v>
      </c>
      <c r="S22" s="95">
        <f>45/B22*1000</f>
        <v>29.508196721311478</v>
      </c>
      <c r="T22" s="115">
        <f>36.3/B22*1000</f>
        <v>23.803278688524589</v>
      </c>
      <c r="U22" s="97">
        <v>1.2</v>
      </c>
      <c r="V22" s="98" t="s">
        <v>46</v>
      </c>
      <c r="W22" s="48" t="s">
        <v>63</v>
      </c>
      <c r="X22" s="51"/>
      <c r="Y22" s="72"/>
      <c r="Z22" s="29"/>
      <c r="AA22" s="29"/>
      <c r="AB22" s="29"/>
    </row>
    <row r="23" spans="1:29" ht="25.5" customHeight="1" x14ac:dyDescent="0.2">
      <c r="A23" s="55" t="s">
        <v>51</v>
      </c>
      <c r="B23" s="66">
        <v>3300</v>
      </c>
      <c r="C23" s="56" t="s">
        <v>18</v>
      </c>
      <c r="D23" s="57">
        <v>141</v>
      </c>
      <c r="E23" s="56" t="s">
        <v>60</v>
      </c>
      <c r="F23" s="57">
        <v>69</v>
      </c>
      <c r="G23" s="59">
        <f>341.9/B23*1000</f>
        <v>103.60606060606061</v>
      </c>
      <c r="H23" s="59">
        <f>-6.2/B23*1000</f>
        <v>-1.8787878787878789</v>
      </c>
      <c r="I23" s="58">
        <f>5851000/B23</f>
        <v>1773.030303030303</v>
      </c>
      <c r="J23" s="57">
        <v>30</v>
      </c>
      <c r="K23" s="58">
        <f>-1521000/B23</f>
        <v>-460.90909090909093</v>
      </c>
      <c r="L23" s="67">
        <f>55.6/B23*1000</f>
        <v>16.848484848484848</v>
      </c>
      <c r="M23" s="67">
        <f>73.7/B23*1000</f>
        <v>22.333333333333332</v>
      </c>
      <c r="N23" s="103">
        <v>0.8</v>
      </c>
      <c r="O23" s="69">
        <f>319.4/B23*1000</f>
        <v>96.787878787878782</v>
      </c>
      <c r="P23" s="59">
        <f>-6.2/B23*1000</f>
        <v>-1.8787878787878789</v>
      </c>
      <c r="Q23" s="57">
        <v>31</v>
      </c>
      <c r="R23" s="100">
        <f>-1650000/B23</f>
        <v>-500</v>
      </c>
      <c r="S23" s="59">
        <f>55.6/B23*1000</f>
        <v>16.848484848484848</v>
      </c>
      <c r="T23" s="77">
        <f>68.6/B23*1000</f>
        <v>20.787878787878785</v>
      </c>
      <c r="U23" s="59">
        <v>0.8</v>
      </c>
      <c r="V23" s="113" t="s">
        <v>14</v>
      </c>
      <c r="W23" s="29" t="s">
        <v>65</v>
      </c>
      <c r="X23" s="65"/>
      <c r="Y23" s="72"/>
      <c r="Z23" s="29"/>
      <c r="AA23" s="29"/>
      <c r="AB23" s="29"/>
    </row>
    <row r="24" spans="1:29" ht="25.5" customHeight="1" x14ac:dyDescent="0.2">
      <c r="A24" s="45" t="s">
        <v>21</v>
      </c>
      <c r="B24" s="48">
        <v>1980</v>
      </c>
      <c r="C24" s="85" t="s">
        <v>18</v>
      </c>
      <c r="D24" s="48">
        <v>139</v>
      </c>
      <c r="E24" s="85" t="s">
        <v>10</v>
      </c>
      <c r="F24" s="48">
        <v>83</v>
      </c>
      <c r="G24" s="97">
        <f>114.6/B24*1000</f>
        <v>57.878787878787875</v>
      </c>
      <c r="H24" s="97">
        <f>10.4/B24*1000</f>
        <v>5.2525252525252526</v>
      </c>
      <c r="I24" s="93">
        <f>2661000/B24</f>
        <v>1343.939393939394</v>
      </c>
      <c r="J24" s="48">
        <v>28</v>
      </c>
      <c r="K24" s="93">
        <f>-14000/B24</f>
        <v>-7.0707070707070709</v>
      </c>
      <c r="L24" s="97">
        <f>39/B24*1000</f>
        <v>19.696969696969695</v>
      </c>
      <c r="M24" s="97">
        <f>32.5/B24*1000</f>
        <v>16.414141414141415</v>
      </c>
      <c r="N24" s="101">
        <v>1.2</v>
      </c>
      <c r="O24" s="106">
        <f>96.4/B24*1000</f>
        <v>48.686868686868685</v>
      </c>
      <c r="P24" s="97">
        <f>10.4/B24*1000</f>
        <v>5.2525252525252526</v>
      </c>
      <c r="Q24" s="93">
        <v>29</v>
      </c>
      <c r="R24" s="99">
        <f>-36000/B24</f>
        <v>-18.181818181818183</v>
      </c>
      <c r="S24" s="97">
        <f>39/B24*1000</f>
        <v>19.696969696969695</v>
      </c>
      <c r="T24" s="114">
        <f>28.4/B24*1000</f>
        <v>14.343434343434343</v>
      </c>
      <c r="U24" s="97">
        <v>1.4</v>
      </c>
      <c r="V24" s="98" t="s">
        <v>26</v>
      </c>
      <c r="W24" s="48" t="s">
        <v>62</v>
      </c>
      <c r="X24" s="51"/>
      <c r="Y24" s="72"/>
      <c r="Z24" s="29"/>
      <c r="AA24" s="29"/>
      <c r="AB24" s="34"/>
    </row>
    <row r="25" spans="1:29" ht="25.5" customHeight="1" x14ac:dyDescent="0.2">
      <c r="A25" s="52" t="s">
        <v>53</v>
      </c>
      <c r="B25" s="29">
        <v>3300</v>
      </c>
      <c r="C25" s="84" t="s">
        <v>18</v>
      </c>
      <c r="D25" s="29">
        <v>141</v>
      </c>
      <c r="E25" s="84" t="s">
        <v>10</v>
      </c>
      <c r="F25" s="29">
        <v>93</v>
      </c>
      <c r="G25" s="33">
        <f>214.5/B25*1000</f>
        <v>65</v>
      </c>
      <c r="H25" s="33">
        <f>9.3/B25*1000</f>
        <v>2.8181818181818183</v>
      </c>
      <c r="I25" s="31">
        <f>1602000/B25</f>
        <v>485.45454545454544</v>
      </c>
      <c r="J25" s="29">
        <v>13</v>
      </c>
      <c r="K25" s="31">
        <f>1402000/B25</f>
        <v>424.84848484848487</v>
      </c>
      <c r="L25" s="63">
        <f>37.1/B25*1000</f>
        <v>11.242424242424242</v>
      </c>
      <c r="M25" s="63">
        <f>54.5/B25*1000</f>
        <v>16.515151515151516</v>
      </c>
      <c r="N25" s="102">
        <v>0.7</v>
      </c>
      <c r="O25" s="41">
        <f>180.1/B25*1000</f>
        <v>54.575757575757578</v>
      </c>
      <c r="P25" s="33">
        <f>9.3/B25*1000</f>
        <v>2.8181818181818183</v>
      </c>
      <c r="Q25" s="31">
        <v>14</v>
      </c>
      <c r="R25" s="36">
        <f>1304000/B25</f>
        <v>395.15151515151513</v>
      </c>
      <c r="S25" s="33">
        <f>37.1/B25*1000</f>
        <v>11.242424242424242</v>
      </c>
      <c r="T25" s="76">
        <f>46.7/B25*1000</f>
        <v>14.151515151515152</v>
      </c>
      <c r="U25" s="33">
        <v>0.8</v>
      </c>
      <c r="V25" s="34" t="s">
        <v>13</v>
      </c>
      <c r="W25" s="29" t="s">
        <v>63</v>
      </c>
      <c r="X25" s="53"/>
      <c r="Y25" s="72"/>
      <c r="Z25" s="29"/>
      <c r="AA25" s="29"/>
      <c r="AB25" s="34"/>
    </row>
    <row r="26" spans="1:29" ht="25.5" customHeight="1" x14ac:dyDescent="0.2">
      <c r="A26" s="45" t="s">
        <v>55</v>
      </c>
      <c r="B26" s="48">
        <v>3300</v>
      </c>
      <c r="C26" s="85" t="s">
        <v>18</v>
      </c>
      <c r="D26" s="80">
        <v>141</v>
      </c>
      <c r="E26" s="85" t="s">
        <v>10</v>
      </c>
      <c r="F26" s="80">
        <v>91</v>
      </c>
      <c r="G26" s="97">
        <f>276.2/B26*1000</f>
        <v>83.696969696969703</v>
      </c>
      <c r="H26" s="106">
        <f>-15.6/B26*1000</f>
        <v>-4.7272727272727275</v>
      </c>
      <c r="I26" s="93">
        <f>4836000/B26</f>
        <v>1465.4545454545455</v>
      </c>
      <c r="J26" s="80">
        <v>34</v>
      </c>
      <c r="K26" s="93">
        <f>-1815000/B26</f>
        <v>-550</v>
      </c>
      <c r="L26" s="94">
        <f>35.8/B26*1000</f>
        <v>10.848484848484848</v>
      </c>
      <c r="M26" s="109">
        <f>53/B26*1000</f>
        <v>16.060606060606059</v>
      </c>
      <c r="N26" s="112">
        <v>0.7</v>
      </c>
      <c r="O26" s="106">
        <f>247.4/B26*1000</f>
        <v>74.969696969696983</v>
      </c>
      <c r="P26" s="97">
        <f>-15.6/B26*1000</f>
        <v>-4.7272727272727275</v>
      </c>
      <c r="Q26" s="93">
        <v>35</v>
      </c>
      <c r="R26" s="99">
        <f>-1869000/B26</f>
        <v>-566.36363636363637</v>
      </c>
      <c r="S26" s="97">
        <f>35.8/B26*1000</f>
        <v>10.848484848484848</v>
      </c>
      <c r="T26" s="114">
        <f>46.5/B26*1000</f>
        <v>14.090909090909092</v>
      </c>
      <c r="U26" s="97">
        <v>0.8</v>
      </c>
      <c r="V26" s="98" t="s">
        <v>61</v>
      </c>
      <c r="W26" s="48" t="s">
        <v>62</v>
      </c>
      <c r="X26" s="51"/>
      <c r="Y26" s="72"/>
      <c r="Z26" s="29"/>
      <c r="AA26" s="29"/>
      <c r="AB26" s="34"/>
    </row>
    <row r="27" spans="1:29" ht="25.5" customHeight="1" x14ac:dyDescent="0.2">
      <c r="A27" s="55" t="s">
        <v>20</v>
      </c>
      <c r="B27" s="57">
        <v>1980</v>
      </c>
      <c r="C27" s="56" t="s">
        <v>18</v>
      </c>
      <c r="D27" s="57">
        <v>139</v>
      </c>
      <c r="E27" s="56" t="s">
        <v>10</v>
      </c>
      <c r="F27" s="57">
        <v>94</v>
      </c>
      <c r="G27" s="59">
        <f>84.6/B27*1000</f>
        <v>42.727272727272727</v>
      </c>
      <c r="H27" s="59">
        <f>9.3/B27*1000</f>
        <v>4.6969696969696981</v>
      </c>
      <c r="I27" s="58">
        <f>1989000/B27</f>
        <v>1004.5454545454545</v>
      </c>
      <c r="J27" s="57">
        <v>28</v>
      </c>
      <c r="K27" s="58">
        <f>384000/B27</f>
        <v>193.93939393939394</v>
      </c>
      <c r="L27" s="59">
        <f>47.3/B27*1000</f>
        <v>23.888888888888886</v>
      </c>
      <c r="M27" s="59">
        <f>25/B27*1000</f>
        <v>12.626262626262626</v>
      </c>
      <c r="N27" s="103">
        <v>1.9</v>
      </c>
      <c r="O27" s="69">
        <f>63.5/B27*1000</f>
        <v>32.070707070707066</v>
      </c>
      <c r="P27" s="59">
        <f>9.3/B27*1000</f>
        <v>4.6969696969696981</v>
      </c>
      <c r="Q27" s="58">
        <v>29</v>
      </c>
      <c r="R27" s="100">
        <f>347000/B27</f>
        <v>175.25252525252526</v>
      </c>
      <c r="S27" s="59">
        <f>47.3/B27*1000</f>
        <v>23.888888888888886</v>
      </c>
      <c r="T27" s="77">
        <f>20.2/B27*1000</f>
        <v>10.202020202020202</v>
      </c>
      <c r="U27" s="59">
        <v>2.2999999999999998</v>
      </c>
      <c r="V27" s="60" t="s">
        <v>13</v>
      </c>
      <c r="W27" s="57" t="s">
        <v>63</v>
      </c>
      <c r="X27" s="65"/>
      <c r="Y27" s="72"/>
      <c r="Z27" s="29"/>
      <c r="AA27" s="29"/>
      <c r="AB27" s="34"/>
    </row>
    <row r="28" spans="1:29" ht="12.75" customHeight="1" x14ac:dyDescent="0.2">
      <c r="A28" s="28"/>
      <c r="B28" s="28"/>
      <c r="C28" s="28"/>
      <c r="D28" s="89"/>
      <c r="E28" s="28"/>
      <c r="F28" s="87"/>
      <c r="G28" s="28"/>
      <c r="H28" s="89"/>
      <c r="I28" s="88"/>
      <c r="J28" s="123"/>
      <c r="K28" s="123"/>
      <c r="L28" s="123"/>
      <c r="M28" s="123"/>
      <c r="N28" s="123"/>
      <c r="O28" s="28"/>
      <c r="P28" s="89"/>
      <c r="Q28" s="123"/>
      <c r="R28" s="123"/>
      <c r="S28" s="123"/>
      <c r="T28" s="123"/>
      <c r="U28" s="123"/>
      <c r="V28" s="28"/>
      <c r="W28" s="28"/>
      <c r="X28" s="28"/>
      <c r="Y28" s="28"/>
      <c r="Z28" s="28"/>
      <c r="AA28" s="28"/>
      <c r="AB28" s="28"/>
      <c r="AC28" s="28"/>
    </row>
    <row r="29" spans="1:29" ht="12.75" customHeight="1" x14ac:dyDescent="0.2">
      <c r="A29" s="28"/>
      <c r="B29" s="28"/>
      <c r="C29" s="28"/>
      <c r="D29" s="89"/>
      <c r="E29" s="28"/>
      <c r="F29" s="89"/>
      <c r="G29" s="28"/>
      <c r="H29" s="89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2.75" customHeight="1" x14ac:dyDescent="0.2">
      <c r="A30" s="28"/>
      <c r="B30" s="28"/>
      <c r="C30" s="89"/>
      <c r="D30" s="28"/>
      <c r="E30" s="89"/>
      <c r="F30" s="28"/>
      <c r="G30" s="28"/>
      <c r="H30" s="28"/>
      <c r="I30" s="36"/>
      <c r="J30" s="28"/>
      <c r="K30" s="36"/>
      <c r="L30" s="41"/>
      <c r="M30" s="41"/>
      <c r="N30" s="28"/>
      <c r="O30" s="28"/>
      <c r="P30" s="28"/>
      <c r="Q30" s="28"/>
      <c r="R30" s="36"/>
      <c r="S30" s="41"/>
      <c r="T30" s="41"/>
      <c r="U30" s="41"/>
      <c r="V30" s="28"/>
      <c r="W30" s="90"/>
      <c r="X30" s="90"/>
      <c r="Y30" s="90"/>
      <c r="Z30" s="90"/>
      <c r="AA30" s="28"/>
      <c r="AB30" s="28"/>
      <c r="AC30" s="28"/>
    </row>
    <row r="31" spans="1:29" ht="25.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25.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x14ac:dyDescent="0.2">
      <c r="A34" s="28"/>
      <c r="B34" s="28"/>
      <c r="C34" s="89"/>
      <c r="D34" s="28"/>
      <c r="E34" s="89"/>
      <c r="F34" s="28"/>
      <c r="G34" s="41"/>
      <c r="H34" s="28"/>
      <c r="I34" s="36"/>
      <c r="J34" s="28"/>
      <c r="K34" s="36"/>
      <c r="L34" s="28"/>
      <c r="M34" s="28"/>
      <c r="N34" s="28"/>
      <c r="O34" s="28"/>
      <c r="P34" s="91"/>
      <c r="Q34" s="36"/>
      <c r="R34" s="36"/>
      <c r="S34" s="28"/>
      <c r="T34" s="28"/>
      <c r="U34" s="41"/>
      <c r="V34" s="90"/>
      <c r="W34" s="90"/>
      <c r="X34" s="90"/>
      <c r="Y34" s="90"/>
      <c r="Z34" s="90"/>
      <c r="AA34" s="28"/>
      <c r="AB34" s="28"/>
      <c r="AC34" s="28"/>
    </row>
    <row r="35" spans="1:29" ht="12.75" customHeight="1" x14ac:dyDescent="0.2">
      <c r="A35" s="28"/>
      <c r="B35" s="28"/>
      <c r="C35" s="89"/>
      <c r="D35" s="89"/>
      <c r="E35" s="87"/>
      <c r="F35" s="87"/>
      <c r="G35" s="28"/>
      <c r="H35" s="28"/>
      <c r="I35" s="87"/>
      <c r="J35" s="92"/>
      <c r="K35" s="88"/>
      <c r="L35" s="28"/>
      <c r="M35" s="28"/>
      <c r="N35" s="28"/>
      <c r="O35" s="28"/>
      <c r="P35" s="28"/>
      <c r="Q35" s="92"/>
      <c r="R35" s="8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x14ac:dyDescent="0.2">
      <c r="A36" s="28"/>
      <c r="B36" s="28"/>
      <c r="C36" s="28"/>
      <c r="D36" s="89"/>
      <c r="E36" s="28"/>
      <c r="F36" s="87"/>
      <c r="G36" s="28"/>
      <c r="H36" s="89"/>
      <c r="I36" s="88"/>
      <c r="J36" s="123"/>
      <c r="K36" s="123"/>
      <c r="L36" s="123"/>
      <c r="M36" s="123"/>
      <c r="N36" s="123"/>
      <c r="O36" s="28"/>
      <c r="P36" s="89"/>
      <c r="Q36" s="123"/>
      <c r="R36" s="123"/>
      <c r="S36" s="123"/>
      <c r="T36" s="123"/>
      <c r="U36" s="123"/>
      <c r="V36" s="28"/>
      <c r="W36" s="28"/>
      <c r="X36" s="28"/>
      <c r="Y36" s="28"/>
      <c r="Z36" s="28"/>
      <c r="AA36" s="28"/>
      <c r="AB36" s="28"/>
      <c r="AC36" s="28"/>
    </row>
    <row r="37" spans="1:29" ht="12.75" customHeight="1" x14ac:dyDescent="0.2">
      <c r="A37" s="28"/>
      <c r="B37" s="28"/>
      <c r="C37" s="28"/>
      <c r="D37" s="89"/>
      <c r="E37" s="28"/>
      <c r="F37" s="89"/>
      <c r="G37" s="28"/>
      <c r="H37" s="89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2.75" customHeight="1" x14ac:dyDescent="0.2">
      <c r="A38" s="28"/>
      <c r="B38" s="28"/>
      <c r="C38" s="89"/>
      <c r="D38" s="28"/>
      <c r="E38" s="89"/>
      <c r="F38" s="28"/>
      <c r="G38" s="41"/>
      <c r="H38" s="28"/>
      <c r="I38" s="36"/>
      <c r="J38" s="28"/>
      <c r="K38" s="36"/>
      <c r="L38" s="41"/>
      <c r="M38" s="41"/>
      <c r="N38" s="41"/>
      <c r="O38" s="41"/>
      <c r="P38" s="28"/>
      <c r="Q38" s="28"/>
      <c r="R38" s="36"/>
      <c r="S38" s="41"/>
      <c r="T38" s="41"/>
      <c r="U38" s="41"/>
      <c r="V38" s="28"/>
      <c r="W38" s="90"/>
      <c r="X38" s="90"/>
      <c r="Y38" s="90"/>
      <c r="Z38" s="90"/>
      <c r="AA38" s="28"/>
      <c r="AB38" s="28"/>
      <c r="AC38" s="28"/>
    </row>
    <row r="39" spans="1:29" ht="25.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25.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25.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25.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12.75" customHeight="1" x14ac:dyDescent="0.2">
      <c r="A50" s="28"/>
      <c r="B50" s="28"/>
      <c r="C50" s="89"/>
      <c r="D50" s="89"/>
      <c r="E50" s="87"/>
      <c r="F50" s="87"/>
      <c r="G50" s="28"/>
      <c r="H50" s="28"/>
      <c r="I50" s="87"/>
      <c r="J50" s="92"/>
      <c r="K50" s="8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1:29" x14ac:dyDescent="0.2">
      <c r="A51" s="28"/>
      <c r="B51" s="28"/>
      <c r="C51" s="28"/>
      <c r="D51" s="89"/>
      <c r="E51" s="28"/>
      <c r="F51" s="87"/>
      <c r="G51" s="28"/>
      <c r="H51" s="89"/>
      <c r="I51" s="88"/>
      <c r="J51" s="123"/>
      <c r="K51" s="123"/>
      <c r="L51" s="123"/>
      <c r="M51" s="123"/>
      <c r="N51" s="123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29" ht="12.75" customHeight="1" x14ac:dyDescent="0.2">
      <c r="A52" s="28"/>
      <c r="B52" s="28"/>
      <c r="C52" s="28"/>
      <c r="D52" s="89"/>
      <c r="E52" s="28"/>
      <c r="F52" s="89"/>
      <c r="G52" s="28"/>
      <c r="H52" s="89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29" ht="12.75" customHeight="1" x14ac:dyDescent="0.2">
      <c r="A53" s="28"/>
      <c r="B53" s="28"/>
      <c r="C53" s="89"/>
      <c r="D53" s="28"/>
      <c r="E53" s="89"/>
      <c r="F53" s="28"/>
      <c r="G53" s="28"/>
      <c r="H53" s="28"/>
      <c r="I53" s="36"/>
      <c r="J53" s="28"/>
      <c r="K53" s="36"/>
      <c r="L53" s="41"/>
      <c r="M53" s="41"/>
      <c r="N53" s="41"/>
      <c r="O53" s="28"/>
      <c r="P53" s="90"/>
      <c r="Q53" s="90"/>
      <c r="R53" s="90"/>
      <c r="S53" s="28"/>
      <c r="T53" s="90"/>
      <c r="U53" s="90"/>
      <c r="V53" s="28"/>
      <c r="W53" s="28"/>
      <c r="X53" s="28"/>
      <c r="Y53" s="28"/>
      <c r="Z53" s="28"/>
      <c r="AA53" s="28"/>
      <c r="AB53" s="28"/>
      <c r="AC53" s="28"/>
    </row>
    <row r="54" spans="1:29" ht="25.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90"/>
      <c r="U54" s="90"/>
      <c r="V54" s="28"/>
      <c r="W54" s="28"/>
      <c r="X54" s="28"/>
      <c r="Y54" s="28"/>
      <c r="Z54" s="28"/>
      <c r="AA54" s="28"/>
      <c r="AB54" s="28"/>
      <c r="AC54" s="28"/>
    </row>
    <row r="55" spans="1:29" ht="12.75" customHeight="1" x14ac:dyDescent="0.2">
      <c r="A55" s="28"/>
      <c r="B55" s="28"/>
      <c r="C55" s="89"/>
      <c r="D55" s="28"/>
      <c r="E55" s="89"/>
      <c r="F55" s="28"/>
      <c r="G55" s="28"/>
      <c r="H55" s="28"/>
      <c r="I55" s="36"/>
      <c r="J55" s="28"/>
      <c r="K55" s="36"/>
      <c r="L55" s="41"/>
      <c r="M55" s="41"/>
      <c r="N55" s="28"/>
      <c r="O55" s="28"/>
      <c r="P55" s="90"/>
      <c r="Q55" s="90"/>
      <c r="R55" s="90"/>
      <c r="S55" s="28"/>
      <c r="T55" s="90"/>
      <c r="U55" s="90"/>
      <c r="V55" s="28"/>
      <c r="W55" s="28"/>
      <c r="X55" s="28"/>
      <c r="Y55" s="28"/>
      <c r="Z55" s="28"/>
      <c r="AA55" s="28"/>
      <c r="AB55" s="28"/>
      <c r="AC55" s="28"/>
    </row>
    <row r="56" spans="1:29" ht="25.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90"/>
      <c r="U56" s="90"/>
      <c r="V56" s="28"/>
      <c r="W56" s="28"/>
      <c r="X56" s="28"/>
      <c r="Y56" s="28"/>
      <c r="Z56" s="28"/>
      <c r="AA56" s="28"/>
      <c r="AB56" s="28"/>
      <c r="AC56" s="28"/>
    </row>
    <row r="57" spans="1:29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ht="12.75" customHeight="1" x14ac:dyDescent="0.2">
      <c r="A58" s="28"/>
      <c r="B58" s="28"/>
      <c r="C58" s="89"/>
      <c r="D58" s="89"/>
      <c r="E58" s="87"/>
      <c r="F58" s="87"/>
      <c r="G58" s="28"/>
      <c r="H58" s="28"/>
      <c r="I58" s="87"/>
      <c r="J58" s="92"/>
      <c r="K58" s="8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x14ac:dyDescent="0.2">
      <c r="A59" s="28"/>
      <c r="B59" s="28"/>
      <c r="C59" s="28"/>
      <c r="D59" s="89"/>
      <c r="E59" s="28"/>
      <c r="F59" s="87"/>
      <c r="G59" s="28"/>
      <c r="H59" s="89"/>
      <c r="I59" s="88"/>
      <c r="J59" s="123"/>
      <c r="K59" s="123"/>
      <c r="L59" s="123"/>
      <c r="M59" s="123"/>
      <c r="N59" s="123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ht="12.75" customHeight="1" x14ac:dyDescent="0.2">
      <c r="A60" s="28"/>
      <c r="B60" s="28"/>
      <c r="C60" s="28"/>
      <c r="D60" s="89"/>
      <c r="E60" s="28"/>
      <c r="F60" s="89"/>
      <c r="G60" s="28"/>
      <c r="H60" s="89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1:29" ht="12.75" customHeight="1" x14ac:dyDescent="0.2">
      <c r="A61" s="28"/>
      <c r="B61" s="28"/>
      <c r="C61" s="89"/>
      <c r="D61" s="28"/>
      <c r="E61" s="89"/>
      <c r="F61" s="28"/>
      <c r="G61" s="28"/>
      <c r="H61" s="28"/>
      <c r="I61" s="36"/>
      <c r="J61" s="28"/>
      <c r="K61" s="36"/>
      <c r="L61" s="91"/>
      <c r="M61" s="91"/>
      <c r="N61" s="28"/>
      <c r="O61" s="28"/>
      <c r="P61" s="90"/>
      <c r="Q61" s="90"/>
      <c r="R61" s="90"/>
      <c r="S61" s="28"/>
      <c r="T61" s="90"/>
      <c r="U61" s="90"/>
      <c r="V61" s="28"/>
      <c r="W61" s="28"/>
      <c r="X61" s="28"/>
      <c r="Y61" s="28"/>
      <c r="Z61" s="28"/>
      <c r="AA61" s="28"/>
      <c r="AB61" s="28"/>
      <c r="AC61" s="28"/>
    </row>
    <row r="62" spans="1:29" ht="25.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ht="12.75" customHeight="1" x14ac:dyDescent="0.2">
      <c r="A63" s="28"/>
      <c r="B63" s="28"/>
      <c r="C63" s="89"/>
      <c r="D63" s="28"/>
      <c r="E63" s="89"/>
      <c r="F63" s="28"/>
      <c r="G63" s="28"/>
      <c r="H63" s="28"/>
      <c r="I63" s="36"/>
      <c r="J63" s="28"/>
      <c r="K63" s="36"/>
      <c r="L63" s="91"/>
      <c r="M63" s="91"/>
      <c r="N63" s="28"/>
      <c r="O63" s="28"/>
      <c r="P63" s="90"/>
      <c r="Q63" s="90"/>
      <c r="R63" s="90"/>
      <c r="S63" s="28"/>
      <c r="T63" s="90"/>
      <c r="U63" s="90"/>
      <c r="V63" s="28"/>
      <c r="W63" s="28"/>
      <c r="X63" s="28"/>
      <c r="Y63" s="28"/>
      <c r="Z63" s="28"/>
      <c r="AA63" s="28"/>
      <c r="AB63" s="28"/>
      <c r="AC63" s="28"/>
    </row>
    <row r="64" spans="1:29" ht="25.5" customHeight="1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x14ac:dyDescent="0.2">
      <c r="A66" s="28"/>
      <c r="B66" s="28"/>
      <c r="C66" s="89"/>
      <c r="D66" s="89"/>
      <c r="E66" s="87"/>
      <c r="F66" s="87"/>
      <c r="G66" s="28"/>
      <c r="H66" s="28"/>
      <c r="I66" s="87"/>
      <c r="J66" s="92"/>
      <c r="K66" s="8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1:29" x14ac:dyDescent="0.2">
      <c r="A67" s="28"/>
      <c r="B67" s="28"/>
      <c r="C67" s="28"/>
      <c r="D67" s="89"/>
      <c r="E67" s="28"/>
      <c r="F67" s="87"/>
      <c r="G67" s="28"/>
      <c r="H67" s="89"/>
      <c r="I67" s="88"/>
      <c r="J67" s="123"/>
      <c r="K67" s="123"/>
      <c r="L67" s="123"/>
      <c r="M67" s="123"/>
      <c r="N67" s="123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1:29" x14ac:dyDescent="0.2">
      <c r="A68" s="28"/>
      <c r="B68" s="28"/>
      <c r="C68" s="28"/>
      <c r="D68" s="89"/>
      <c r="E68" s="28"/>
      <c r="F68" s="89"/>
      <c r="G68" s="28"/>
      <c r="H68" s="89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ht="12.75" customHeight="1" x14ac:dyDescent="0.2">
      <c r="A69" s="28"/>
      <c r="B69" s="28"/>
      <c r="C69" s="89"/>
      <c r="D69" s="28"/>
      <c r="E69" s="89"/>
      <c r="F69" s="28"/>
      <c r="G69" s="28"/>
      <c r="H69" s="28"/>
      <c r="I69" s="36"/>
      <c r="J69" s="28"/>
      <c r="K69" s="36"/>
      <c r="L69" s="91"/>
      <c r="M69" s="91"/>
      <c r="N69" s="28"/>
      <c r="O69" s="28"/>
      <c r="P69" s="90"/>
      <c r="Q69" s="90"/>
      <c r="R69" s="90"/>
      <c r="S69" s="28"/>
      <c r="T69" s="90"/>
      <c r="U69" s="90"/>
      <c r="V69" s="28"/>
      <c r="W69" s="28"/>
      <c r="X69" s="28"/>
      <c r="Y69" s="28"/>
      <c r="Z69" s="28"/>
      <c r="AA69" s="28"/>
      <c r="AB69" s="28"/>
      <c r="AC69" s="28"/>
    </row>
    <row r="70" spans="1:29" ht="25.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1:29" ht="12.75" customHeight="1" x14ac:dyDescent="0.2">
      <c r="A71" s="28"/>
      <c r="B71" s="28"/>
      <c r="C71" s="89"/>
      <c r="D71" s="28"/>
      <c r="E71" s="89"/>
      <c r="F71" s="28"/>
      <c r="G71" s="28"/>
      <c r="H71" s="28"/>
      <c r="I71" s="36"/>
      <c r="J71" s="28"/>
      <c r="K71" s="36"/>
      <c r="L71" s="91"/>
      <c r="M71" s="91"/>
      <c r="N71" s="41"/>
      <c r="O71" s="28"/>
      <c r="P71" s="90"/>
      <c r="Q71" s="90"/>
      <c r="R71" s="90"/>
      <c r="S71" s="28"/>
      <c r="T71" s="90"/>
      <c r="U71" s="90"/>
      <c r="V71" s="28"/>
      <c r="W71" s="28"/>
      <c r="X71" s="28"/>
      <c r="Y71" s="28"/>
      <c r="Z71" s="28"/>
      <c r="AA71" s="28"/>
      <c r="AB71" s="28"/>
      <c r="AC71" s="28"/>
    </row>
    <row r="72" spans="1:29" ht="25.5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1:29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90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1:29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1:29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spans="1:29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1:29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</sheetData>
  <sortState ref="A8:W27">
    <sortCondition descending="1" ref="T8"/>
  </sortState>
  <mergeCells count="13">
    <mergeCell ref="C3:D3"/>
    <mergeCell ref="E3:F3"/>
    <mergeCell ref="J4:N4"/>
    <mergeCell ref="Q4:U4"/>
    <mergeCell ref="L6:M6"/>
    <mergeCell ref="S6:T6"/>
    <mergeCell ref="J67:N67"/>
    <mergeCell ref="J28:N28"/>
    <mergeCell ref="Q28:U28"/>
    <mergeCell ref="J36:N36"/>
    <mergeCell ref="Q36:U36"/>
    <mergeCell ref="J51:N51"/>
    <mergeCell ref="J59:N5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AC78"/>
  <sheetViews>
    <sheetView zoomScale="80" zoomScaleNormal="80" workbookViewId="0">
      <pane xSplit="1" topLeftCell="B1" activePane="topRight" state="frozen"/>
      <selection pane="topRight" activeCell="R3" sqref="E3:U6"/>
    </sheetView>
  </sheetViews>
  <sheetFormatPr defaultRowHeight="12.6" x14ac:dyDescent="0.2"/>
  <cols>
    <col min="1" max="1" width="38" customWidth="1"/>
    <col min="2" max="2" width="7.6328125" customWidth="1"/>
    <col min="3" max="3" width="4.26953125" customWidth="1"/>
    <col min="5" max="5" width="4.453125" customWidth="1"/>
    <col min="7" max="7" width="10.90625" hidden="1" customWidth="1"/>
    <col min="8" max="8" width="8.26953125" hidden="1" customWidth="1"/>
    <col min="9" max="9" width="11.6328125" customWidth="1"/>
    <col min="10" max="10" width="4.453125" hidden="1" customWidth="1"/>
    <col min="11" max="11" width="12.36328125" hidden="1" customWidth="1"/>
    <col min="12" max="12" width="15" hidden="1" customWidth="1"/>
    <col min="13" max="13" width="9.453125" hidden="1" customWidth="1"/>
    <col min="14" max="14" width="9.36328125" hidden="1" customWidth="1"/>
    <col min="15" max="15" width="10.36328125" customWidth="1"/>
    <col min="16" max="16" width="8.453125" customWidth="1"/>
    <col min="17" max="17" width="4.453125" bestFit="1" customWidth="1"/>
    <col min="18" max="18" width="11.90625" customWidth="1"/>
    <col min="19" max="19" width="14.36328125" customWidth="1"/>
    <col min="20" max="20" width="10.08984375" customWidth="1"/>
    <col min="21" max="21" width="9.36328125" customWidth="1"/>
    <col min="22" max="22" width="40.08984375" customWidth="1"/>
    <col min="23" max="23" width="30.90625" customWidth="1"/>
    <col min="26" max="26" width="11" customWidth="1"/>
    <col min="29" max="29" width="10.90625" customWidth="1"/>
  </cols>
  <sheetData>
    <row r="1" spans="1:28" x14ac:dyDescent="0.2">
      <c r="A1" t="s">
        <v>0</v>
      </c>
      <c r="C1" t="s">
        <v>86</v>
      </c>
    </row>
    <row r="3" spans="1:28" x14ac:dyDescent="0.2">
      <c r="A3" s="45" t="s">
        <v>1</v>
      </c>
      <c r="B3" s="85" t="s">
        <v>82</v>
      </c>
      <c r="C3" s="124" t="s">
        <v>2</v>
      </c>
      <c r="D3" s="124"/>
      <c r="E3" s="134" t="s">
        <v>4</v>
      </c>
      <c r="F3" s="134"/>
      <c r="G3" s="135" t="s">
        <v>31</v>
      </c>
      <c r="H3" s="135"/>
      <c r="I3" s="136" t="s">
        <v>8</v>
      </c>
      <c r="J3" s="137" t="s">
        <v>77</v>
      </c>
      <c r="K3" s="135" t="s">
        <v>78</v>
      </c>
      <c r="L3" s="135" t="s">
        <v>74</v>
      </c>
      <c r="M3" s="135" t="s">
        <v>75</v>
      </c>
      <c r="N3" s="138" t="s">
        <v>76</v>
      </c>
      <c r="O3" s="135" t="s">
        <v>7</v>
      </c>
      <c r="P3" s="135"/>
      <c r="Q3" s="137" t="s">
        <v>77</v>
      </c>
      <c r="R3" s="135" t="s">
        <v>78</v>
      </c>
      <c r="S3" s="135" t="s">
        <v>74</v>
      </c>
      <c r="T3" s="135" t="s">
        <v>75</v>
      </c>
      <c r="U3" s="135" t="s">
        <v>76</v>
      </c>
      <c r="V3" s="48" t="s">
        <v>12</v>
      </c>
      <c r="W3" s="48"/>
      <c r="X3" s="51"/>
      <c r="Y3" s="29"/>
      <c r="Z3" s="29"/>
      <c r="AA3" s="29"/>
      <c r="AB3" s="29"/>
    </row>
    <row r="4" spans="1:28" x14ac:dyDescent="0.2">
      <c r="A4" s="52"/>
      <c r="B4" s="29"/>
      <c r="C4" s="29"/>
      <c r="D4" s="29"/>
      <c r="E4" s="139"/>
      <c r="F4" s="139"/>
      <c r="G4" s="139" t="s">
        <v>5</v>
      </c>
      <c r="H4" s="140" t="s">
        <v>6</v>
      </c>
      <c r="I4" s="139" t="s">
        <v>9</v>
      </c>
      <c r="J4" s="141" t="s">
        <v>80</v>
      </c>
      <c r="K4" s="141"/>
      <c r="L4" s="141"/>
      <c r="M4" s="141"/>
      <c r="N4" s="142"/>
      <c r="O4" s="139" t="s">
        <v>5</v>
      </c>
      <c r="P4" s="140" t="s">
        <v>6</v>
      </c>
      <c r="Q4" s="141" t="s">
        <v>81</v>
      </c>
      <c r="R4" s="141"/>
      <c r="S4" s="141"/>
      <c r="T4" s="141"/>
      <c r="U4" s="141"/>
      <c r="V4" s="29"/>
      <c r="W4" s="29"/>
      <c r="X4" s="53"/>
      <c r="Y4" s="29"/>
      <c r="Z4" s="29"/>
      <c r="AA4" s="29"/>
      <c r="AB4" s="29"/>
    </row>
    <row r="5" spans="1:28" hidden="1" x14ac:dyDescent="0.2">
      <c r="A5" s="52"/>
      <c r="B5" s="29"/>
      <c r="C5" s="29"/>
      <c r="D5" s="84"/>
      <c r="E5" s="139"/>
      <c r="F5" s="140"/>
      <c r="G5" s="139"/>
      <c r="H5" s="140"/>
      <c r="I5" s="139"/>
      <c r="J5" s="139"/>
      <c r="K5" s="139"/>
      <c r="L5" s="139"/>
      <c r="M5" s="139"/>
      <c r="N5" s="143"/>
      <c r="O5" s="139"/>
      <c r="P5" s="139"/>
      <c r="Q5" s="139"/>
      <c r="R5" s="139"/>
      <c r="S5" s="139"/>
      <c r="T5" s="139"/>
      <c r="U5" s="139"/>
      <c r="V5" s="29"/>
      <c r="W5" s="29"/>
      <c r="X5" s="53"/>
      <c r="Y5" s="29"/>
      <c r="Z5" s="29"/>
      <c r="AA5" s="29"/>
      <c r="AB5" s="29"/>
    </row>
    <row r="6" spans="1:28" x14ac:dyDescent="0.2">
      <c r="A6" s="52"/>
      <c r="B6" s="84" t="s">
        <v>83</v>
      </c>
      <c r="C6" s="29"/>
      <c r="D6" s="84" t="s">
        <v>3</v>
      </c>
      <c r="E6" s="139"/>
      <c r="F6" s="140" t="s">
        <v>3</v>
      </c>
      <c r="G6" s="139" t="s">
        <v>3</v>
      </c>
      <c r="H6" s="140" t="s">
        <v>3</v>
      </c>
      <c r="I6" s="139" t="s">
        <v>84</v>
      </c>
      <c r="J6" s="139"/>
      <c r="K6" s="144" t="s">
        <v>84</v>
      </c>
      <c r="L6" s="145" t="s">
        <v>85</v>
      </c>
      <c r="M6" s="145"/>
      <c r="N6" s="143"/>
      <c r="O6" s="139" t="s">
        <v>3</v>
      </c>
      <c r="P6" s="139" t="s">
        <v>3</v>
      </c>
      <c r="Q6" s="139"/>
      <c r="R6" s="139" t="s">
        <v>84</v>
      </c>
      <c r="S6" s="145" t="s">
        <v>85</v>
      </c>
      <c r="T6" s="145"/>
      <c r="U6" s="139"/>
      <c r="V6" s="29"/>
      <c r="W6" s="29"/>
      <c r="X6" s="53"/>
      <c r="Y6" s="29"/>
      <c r="Z6" s="29"/>
      <c r="AA6" s="29"/>
      <c r="AB6" s="29"/>
    </row>
    <row r="7" spans="1:28" ht="12.75" hidden="1" customHeight="1" x14ac:dyDescent="0.2">
      <c r="A7" s="52"/>
      <c r="B7" s="29"/>
      <c r="C7" s="84"/>
      <c r="D7" s="29"/>
      <c r="E7" s="84"/>
      <c r="F7" s="29"/>
      <c r="G7" s="29"/>
      <c r="H7" s="29"/>
      <c r="I7" s="31"/>
      <c r="J7" s="29"/>
      <c r="K7" s="31"/>
      <c r="L7" s="33"/>
      <c r="M7" s="33"/>
      <c r="N7" s="102"/>
      <c r="O7" s="29"/>
      <c r="P7" s="29"/>
      <c r="Q7" s="29"/>
      <c r="R7" s="31"/>
      <c r="S7" s="33"/>
      <c r="T7" s="33"/>
      <c r="U7" s="33"/>
      <c r="V7" s="29"/>
      <c r="W7" s="72"/>
      <c r="X7" s="53"/>
      <c r="Y7" s="72"/>
      <c r="Z7" s="72"/>
      <c r="AA7" s="29"/>
      <c r="AB7" s="29"/>
    </row>
    <row r="8" spans="1:28" ht="25.5" customHeight="1" x14ac:dyDescent="0.2">
      <c r="A8" s="52" t="s">
        <v>36</v>
      </c>
      <c r="B8" s="29">
        <v>216</v>
      </c>
      <c r="C8" s="84" t="s">
        <v>38</v>
      </c>
      <c r="D8" s="29">
        <v>282</v>
      </c>
      <c r="E8" s="84" t="s">
        <v>10</v>
      </c>
      <c r="F8" s="29">
        <v>106</v>
      </c>
      <c r="G8" s="33">
        <f>45.8/B8*1000</f>
        <v>212.03703703703701</v>
      </c>
      <c r="H8" s="33">
        <f>2.1/B8*1000</f>
        <v>9.7222222222222232</v>
      </c>
      <c r="I8" s="31">
        <f>469000/B8</f>
        <v>2171.2962962962961</v>
      </c>
      <c r="J8" s="29">
        <v>14</v>
      </c>
      <c r="K8" s="36">
        <f>244000/B8</f>
        <v>1129.6296296296296</v>
      </c>
      <c r="L8" s="32">
        <f>5.8/B8*1000</f>
        <v>26.851851851851851</v>
      </c>
      <c r="M8" s="32">
        <f>11.7/B8*1000</f>
        <v>54.166666666666664</v>
      </c>
      <c r="N8" s="102">
        <v>0.5</v>
      </c>
      <c r="O8" s="41">
        <f>43.8/B8*1000</f>
        <v>202.77777777777774</v>
      </c>
      <c r="P8" s="33">
        <f>2.1/B8*1000</f>
        <v>9.7222222222222232</v>
      </c>
      <c r="Q8" s="29">
        <v>14</v>
      </c>
      <c r="R8" s="36">
        <f>242000/B8</f>
        <v>1120.3703703703704</v>
      </c>
      <c r="S8" s="91">
        <f>5.8/B8*1000</f>
        <v>26.851851851851851</v>
      </c>
      <c r="T8" s="91">
        <f>11.2/B8*1000</f>
        <v>51.851851851851848</v>
      </c>
      <c r="U8" s="74">
        <v>0.5</v>
      </c>
      <c r="V8" s="34" t="s">
        <v>13</v>
      </c>
      <c r="W8" s="29" t="s">
        <v>73</v>
      </c>
      <c r="X8" s="53"/>
      <c r="Y8" s="72"/>
      <c r="Z8" s="72"/>
      <c r="AA8" s="29"/>
      <c r="AB8" s="29"/>
    </row>
    <row r="9" spans="1:28" ht="12.75" hidden="1" customHeight="1" x14ac:dyDescent="0.2">
      <c r="A9" s="52"/>
      <c r="B9" s="29"/>
      <c r="C9" s="84"/>
      <c r="D9" s="29"/>
      <c r="E9" s="84"/>
      <c r="F9" s="29"/>
      <c r="G9" s="33"/>
      <c r="H9" s="33"/>
      <c r="I9" s="31"/>
      <c r="J9" s="29"/>
      <c r="K9" s="31"/>
      <c r="L9" s="33"/>
      <c r="M9" s="33"/>
      <c r="N9" s="102"/>
      <c r="O9" s="41"/>
      <c r="P9" s="33"/>
      <c r="Q9" s="31"/>
      <c r="R9" s="36"/>
      <c r="S9" s="41"/>
      <c r="T9" s="41"/>
      <c r="U9" s="76"/>
      <c r="V9" s="29"/>
      <c r="W9" s="29"/>
      <c r="X9" s="53"/>
      <c r="Y9" s="72"/>
      <c r="Z9" s="72"/>
      <c r="AA9" s="29"/>
      <c r="AB9" s="29"/>
    </row>
    <row r="10" spans="1:28" ht="25.5" customHeight="1" x14ac:dyDescent="0.2">
      <c r="A10" s="52" t="s">
        <v>55</v>
      </c>
      <c r="B10" s="29">
        <v>3300</v>
      </c>
      <c r="C10" s="84" t="s">
        <v>18</v>
      </c>
      <c r="D10" s="28">
        <v>141</v>
      </c>
      <c r="E10" s="84" t="s">
        <v>10</v>
      </c>
      <c r="F10" s="28">
        <v>91</v>
      </c>
      <c r="G10" s="33">
        <f>276.2/B10*1000</f>
        <v>83.696969696969703</v>
      </c>
      <c r="H10" s="41">
        <f>-15.6/B10*1000</f>
        <v>-4.7272727272727275</v>
      </c>
      <c r="I10" s="31">
        <f>4836000/B10</f>
        <v>1465.4545454545455</v>
      </c>
      <c r="J10" s="28">
        <v>34</v>
      </c>
      <c r="K10" s="31">
        <f>-1815000/B10</f>
        <v>-550</v>
      </c>
      <c r="L10" s="63">
        <f>35.8/B10*1000</f>
        <v>10.848484848484848</v>
      </c>
      <c r="M10" s="40">
        <f>53/B10*1000</f>
        <v>16.060606060606059</v>
      </c>
      <c r="N10" s="116">
        <v>0.7</v>
      </c>
      <c r="O10" s="41">
        <f>247.4/B10*1000</f>
        <v>74.969696969696983</v>
      </c>
      <c r="P10" s="33">
        <f>-15.6/B10*1000</f>
        <v>-4.7272727272727275</v>
      </c>
      <c r="Q10" s="31">
        <v>35</v>
      </c>
      <c r="R10" s="36">
        <f>-1869000/B10</f>
        <v>-566.36363636363637</v>
      </c>
      <c r="S10" s="41">
        <f>35.8/B10*1000</f>
        <v>10.848484848484848</v>
      </c>
      <c r="T10" s="41">
        <f>46.5/B10*1000</f>
        <v>14.090909090909092</v>
      </c>
      <c r="U10" s="76">
        <v>0.8</v>
      </c>
      <c r="V10" s="34" t="s">
        <v>61</v>
      </c>
      <c r="W10" s="29" t="s">
        <v>62</v>
      </c>
      <c r="X10" s="53"/>
      <c r="Y10" s="72"/>
      <c r="Z10" s="72"/>
      <c r="AA10" s="29"/>
      <c r="AB10" s="29"/>
    </row>
    <row r="11" spans="1:28" ht="12.75" hidden="1" customHeight="1" x14ac:dyDescent="0.2">
      <c r="A11" s="52"/>
      <c r="B11" s="29"/>
      <c r="C11" s="84"/>
      <c r="D11" s="29"/>
      <c r="E11" s="84"/>
      <c r="F11" s="29"/>
      <c r="G11" s="33"/>
      <c r="H11" s="33"/>
      <c r="I11" s="31"/>
      <c r="J11" s="29"/>
      <c r="K11" s="31"/>
      <c r="L11" s="33"/>
      <c r="M11" s="33"/>
      <c r="N11" s="102"/>
      <c r="O11" s="41"/>
      <c r="P11" s="33"/>
      <c r="Q11" s="31"/>
      <c r="R11" s="36"/>
      <c r="S11" s="41"/>
      <c r="T11" s="41"/>
      <c r="U11" s="76"/>
      <c r="V11" s="29"/>
      <c r="W11" s="29"/>
      <c r="X11" s="53"/>
      <c r="Y11" s="72"/>
      <c r="Z11" s="72"/>
      <c r="AA11" s="29"/>
      <c r="AB11" s="29"/>
    </row>
    <row r="12" spans="1:28" ht="25.5" customHeight="1" x14ac:dyDescent="0.2">
      <c r="A12" s="55" t="s">
        <v>53</v>
      </c>
      <c r="B12" s="57">
        <v>3300</v>
      </c>
      <c r="C12" s="56" t="s">
        <v>18</v>
      </c>
      <c r="D12" s="57">
        <v>141</v>
      </c>
      <c r="E12" s="56" t="s">
        <v>10</v>
      </c>
      <c r="F12" s="57">
        <v>93</v>
      </c>
      <c r="G12" s="59">
        <f>214.5/B12*1000</f>
        <v>65</v>
      </c>
      <c r="H12" s="59">
        <f>9.3/B12*1000</f>
        <v>2.8181818181818183</v>
      </c>
      <c r="I12" s="58">
        <f>1602000/B12</f>
        <v>485.45454545454544</v>
      </c>
      <c r="J12" s="57">
        <v>13</v>
      </c>
      <c r="K12" s="58">
        <f>1402000/B12</f>
        <v>424.84848484848487</v>
      </c>
      <c r="L12" s="67">
        <f>37.1/B12*1000</f>
        <v>11.242424242424242</v>
      </c>
      <c r="M12" s="67">
        <f>54.5/B12*1000</f>
        <v>16.515151515151516</v>
      </c>
      <c r="N12" s="103">
        <v>0.7</v>
      </c>
      <c r="O12" s="69">
        <f>180.1/B12*1000</f>
        <v>54.575757575757578</v>
      </c>
      <c r="P12" s="59">
        <f>9.3/B12*1000</f>
        <v>2.8181818181818183</v>
      </c>
      <c r="Q12" s="58">
        <v>14</v>
      </c>
      <c r="R12" s="100">
        <f>1304000/B12</f>
        <v>395.15151515151513</v>
      </c>
      <c r="S12" s="69">
        <f>37.1/B12*1000</f>
        <v>11.242424242424242</v>
      </c>
      <c r="T12" s="69">
        <f>46.7/B12*1000</f>
        <v>14.151515151515152</v>
      </c>
      <c r="U12" s="77">
        <v>0.8</v>
      </c>
      <c r="V12" s="60" t="s">
        <v>13</v>
      </c>
      <c r="W12" s="29" t="s">
        <v>63</v>
      </c>
      <c r="X12" s="65"/>
      <c r="Y12" s="72"/>
      <c r="Z12" s="72"/>
      <c r="AA12" s="29"/>
      <c r="AB12" s="29"/>
    </row>
    <row r="13" spans="1:28" ht="25.5" customHeight="1" x14ac:dyDescent="0.2">
      <c r="A13" s="45" t="s">
        <v>51</v>
      </c>
      <c r="B13" s="80">
        <v>3300</v>
      </c>
      <c r="C13" s="85" t="s">
        <v>18</v>
      </c>
      <c r="D13" s="48">
        <v>141</v>
      </c>
      <c r="E13" s="85" t="s">
        <v>60</v>
      </c>
      <c r="F13" s="48">
        <v>69</v>
      </c>
      <c r="G13" s="97">
        <f>341.9/B13*1000</f>
        <v>103.60606060606061</v>
      </c>
      <c r="H13" s="97">
        <f>-6.2/B13*1000</f>
        <v>-1.8787878787878789</v>
      </c>
      <c r="I13" s="93">
        <f>5851000/B13</f>
        <v>1773.030303030303</v>
      </c>
      <c r="J13" s="48">
        <v>30</v>
      </c>
      <c r="K13" s="93">
        <f>-1521000/B13</f>
        <v>-460.90909090909093</v>
      </c>
      <c r="L13" s="94">
        <f>55.6/B13*1000</f>
        <v>16.848484848484848</v>
      </c>
      <c r="M13" s="94">
        <f>73.7/B13*1000</f>
        <v>22.333333333333332</v>
      </c>
      <c r="N13" s="101">
        <v>0.8</v>
      </c>
      <c r="O13" s="106">
        <f>319.4/B13*1000</f>
        <v>96.787878787878782</v>
      </c>
      <c r="P13" s="97">
        <f>-6.2/B13*1000</f>
        <v>-1.8787878787878789</v>
      </c>
      <c r="Q13" s="48">
        <v>31</v>
      </c>
      <c r="R13" s="99">
        <f>-1650000/B13</f>
        <v>-500</v>
      </c>
      <c r="S13" s="106">
        <f>55.6/B13*1000</f>
        <v>16.848484848484848</v>
      </c>
      <c r="T13" s="106">
        <f>68.6/B13*1000</f>
        <v>20.787878787878785</v>
      </c>
      <c r="U13" s="114">
        <v>0.8</v>
      </c>
      <c r="V13" s="108" t="s">
        <v>14</v>
      </c>
      <c r="W13" s="48" t="s">
        <v>65</v>
      </c>
      <c r="X13" s="51"/>
      <c r="Y13" s="72"/>
      <c r="Z13" s="72"/>
      <c r="AA13" s="29"/>
      <c r="AB13" s="29"/>
    </row>
    <row r="14" spans="1:28" ht="25.5" customHeight="1" x14ac:dyDescent="0.2">
      <c r="A14" s="52" t="s">
        <v>34</v>
      </c>
      <c r="B14" s="28">
        <v>216</v>
      </c>
      <c r="C14" s="84" t="s">
        <v>38</v>
      </c>
      <c r="D14" s="29">
        <v>282</v>
      </c>
      <c r="E14" s="84" t="s">
        <v>11</v>
      </c>
      <c r="F14" s="29">
        <v>78</v>
      </c>
      <c r="G14" s="33">
        <f>54/B14*1000</f>
        <v>250</v>
      </c>
      <c r="H14" s="33">
        <f>2.1/B14*1000</f>
        <v>9.7222222222222232</v>
      </c>
      <c r="I14" s="31">
        <f>766000/B14</f>
        <v>3546.2962962962961</v>
      </c>
      <c r="J14" s="29">
        <v>20</v>
      </c>
      <c r="K14" s="36">
        <f>207000/B14</f>
        <v>958.33333333333337</v>
      </c>
      <c r="L14" s="32">
        <f>10.3/B14*1000</f>
        <v>47.68518518518519</v>
      </c>
      <c r="M14" s="32">
        <f>13.5/B14*1000</f>
        <v>62.5</v>
      </c>
      <c r="N14" s="102">
        <v>0.8</v>
      </c>
      <c r="O14" s="41">
        <f>52.8/B14*1000</f>
        <v>244.44444444444443</v>
      </c>
      <c r="P14" s="33">
        <f>2.1/B14*1000</f>
        <v>9.7222222222222232</v>
      </c>
      <c r="Q14" s="29">
        <v>20</v>
      </c>
      <c r="R14" s="36">
        <f>202000/B14</f>
        <v>935.18518518518522</v>
      </c>
      <c r="S14" s="91">
        <f>10.3/B14*1000</f>
        <v>47.68518518518519</v>
      </c>
      <c r="T14" s="91">
        <f>13.3/B14*1000</f>
        <v>61.574074074074076</v>
      </c>
      <c r="U14" s="74">
        <v>0.8</v>
      </c>
      <c r="V14" s="34" t="s">
        <v>14</v>
      </c>
      <c r="W14" s="29" t="s">
        <v>65</v>
      </c>
      <c r="X14" s="53"/>
      <c r="Y14" s="83"/>
      <c r="Z14" s="83"/>
      <c r="AA14" s="29"/>
      <c r="AB14" s="29"/>
    </row>
    <row r="15" spans="1:28" ht="25.5" customHeight="1" x14ac:dyDescent="0.2">
      <c r="A15" s="55" t="s">
        <v>59</v>
      </c>
      <c r="B15" s="57">
        <v>334</v>
      </c>
      <c r="C15" s="56" t="s">
        <v>32</v>
      </c>
      <c r="D15" s="57">
        <v>220</v>
      </c>
      <c r="E15" s="56" t="s">
        <v>10</v>
      </c>
      <c r="F15" s="57">
        <v>104</v>
      </c>
      <c r="G15" s="59">
        <f>41.2/B15*1000</f>
        <v>123.35329341317366</v>
      </c>
      <c r="H15" s="59">
        <f>3.8/B15*1000</f>
        <v>11.377245508982035</v>
      </c>
      <c r="I15" s="58">
        <f>809000/B15</f>
        <v>2422.1556886227545</v>
      </c>
      <c r="J15" s="57">
        <v>24</v>
      </c>
      <c r="K15" s="100">
        <f>-22000/B15</f>
        <v>-65.868263473053887</v>
      </c>
      <c r="L15" s="59">
        <f>10.9/B15*1000</f>
        <v>32.634730538922156</v>
      </c>
      <c r="M15" s="59">
        <f>11.7/B15*1000</f>
        <v>35.029940119760475</v>
      </c>
      <c r="N15" s="103">
        <v>0.9</v>
      </c>
      <c r="O15" s="69">
        <f>38.6/B15*1000</f>
        <v>115.56886227544911</v>
      </c>
      <c r="P15" s="59">
        <f>3.8/B15*1000</f>
        <v>11.377245508982035</v>
      </c>
      <c r="Q15" s="57">
        <v>24</v>
      </c>
      <c r="R15" s="100">
        <f>-27000/B15</f>
        <v>-80.838323353293418</v>
      </c>
      <c r="S15" s="69">
        <f>10.9/B15*1000</f>
        <v>32.634730538922156</v>
      </c>
      <c r="T15" s="69">
        <f>11.1/B15*1000</f>
        <v>33.23353293413173</v>
      </c>
      <c r="U15" s="75">
        <v>1</v>
      </c>
      <c r="V15" s="60" t="s">
        <v>66</v>
      </c>
      <c r="W15" s="57" t="s">
        <v>62</v>
      </c>
      <c r="X15" s="65"/>
      <c r="Y15" s="72"/>
      <c r="Z15" s="72"/>
      <c r="AA15" s="29"/>
      <c r="AB15" s="29"/>
    </row>
    <row r="16" spans="1:28" ht="25.5" customHeight="1" x14ac:dyDescent="0.2">
      <c r="A16" s="45" t="s">
        <v>70</v>
      </c>
      <c r="B16" s="48">
        <v>140</v>
      </c>
      <c r="C16" s="85" t="s">
        <v>43</v>
      </c>
      <c r="D16" s="48">
        <v>354</v>
      </c>
      <c r="E16" s="85" t="s">
        <v>60</v>
      </c>
      <c r="F16" s="48">
        <v>81</v>
      </c>
      <c r="G16" s="97">
        <f>38.5/B16*1000</f>
        <v>275</v>
      </c>
      <c r="H16" s="97">
        <f>3.4/B16*1000</f>
        <v>24.285714285714285</v>
      </c>
      <c r="I16" s="93">
        <f>434000/B16</f>
        <v>3100</v>
      </c>
      <c r="J16" s="48">
        <v>8</v>
      </c>
      <c r="K16" s="93">
        <f>599000/B16</f>
        <v>4278.5714285714284</v>
      </c>
      <c r="L16" s="97">
        <f>14.4/B16*1000</f>
        <v>102.85714285714286</v>
      </c>
      <c r="M16" s="97">
        <f>14.6/B16*1000</f>
        <v>104.28571428571429</v>
      </c>
      <c r="N16" s="101">
        <v>1</v>
      </c>
      <c r="O16" s="106">
        <f>37.6/B16*1000</f>
        <v>268.57142857142856</v>
      </c>
      <c r="P16" s="97">
        <f>3.4/B16*1000</f>
        <v>24.285714285714285</v>
      </c>
      <c r="Q16" s="48">
        <v>9</v>
      </c>
      <c r="R16" s="99">
        <f>577000/B16</f>
        <v>4121.4285714285716</v>
      </c>
      <c r="S16" s="106">
        <f>14.4/B16*1000</f>
        <v>102.85714285714286</v>
      </c>
      <c r="T16" s="106">
        <f>14.4/B16*1000</f>
        <v>102.85714285714286</v>
      </c>
      <c r="U16" s="114">
        <v>1</v>
      </c>
      <c r="V16" s="98" t="s">
        <v>72</v>
      </c>
      <c r="W16" s="48" t="s">
        <v>79</v>
      </c>
      <c r="X16" s="51"/>
      <c r="Y16" s="72"/>
      <c r="Z16" s="72"/>
      <c r="AA16" s="29"/>
      <c r="AB16" s="29"/>
    </row>
    <row r="17" spans="1:29" ht="25.5" customHeight="1" x14ac:dyDescent="0.2">
      <c r="A17" s="55" t="s">
        <v>48</v>
      </c>
      <c r="B17" s="57">
        <v>1525</v>
      </c>
      <c r="C17" s="56" t="s">
        <v>38</v>
      </c>
      <c r="D17" s="57">
        <v>220</v>
      </c>
      <c r="E17" s="56" t="s">
        <v>10</v>
      </c>
      <c r="F17" s="57">
        <v>128</v>
      </c>
      <c r="G17" s="59">
        <f>143.2/B17*1000</f>
        <v>93.901639344262293</v>
      </c>
      <c r="H17" s="59">
        <f>14.5/B17*1000</f>
        <v>9.5081967213114762</v>
      </c>
      <c r="I17" s="58">
        <f>1617000/B17</f>
        <v>1060.327868852459</v>
      </c>
      <c r="J17" s="57">
        <v>14</v>
      </c>
      <c r="K17" s="100">
        <f>520000/B17</f>
        <v>340.98360655737707</v>
      </c>
      <c r="L17" s="62">
        <f>45/B17*1000</f>
        <v>29.508196721311478</v>
      </c>
      <c r="M17" s="62">
        <f>41.5/B17*1000</f>
        <v>27.21311475409836</v>
      </c>
      <c r="N17" s="111">
        <v>1.1000000000000001</v>
      </c>
      <c r="O17" s="69">
        <f>120/B17*1000</f>
        <v>78.688524590163937</v>
      </c>
      <c r="P17" s="59">
        <f>14.5/B17*1000</f>
        <v>9.5081967213114762</v>
      </c>
      <c r="Q17" s="57">
        <v>14</v>
      </c>
      <c r="R17" s="100">
        <f>505000/B17</f>
        <v>331.14754098360658</v>
      </c>
      <c r="S17" s="117">
        <f>45/B17*1000</f>
        <v>29.508196721311478</v>
      </c>
      <c r="T17" s="117">
        <f>36.3/B17*1000</f>
        <v>23.803278688524589</v>
      </c>
      <c r="U17" s="77">
        <v>1.2</v>
      </c>
      <c r="V17" s="60" t="s">
        <v>46</v>
      </c>
      <c r="W17" s="57" t="s">
        <v>63</v>
      </c>
      <c r="X17" s="65"/>
      <c r="Y17" s="72"/>
      <c r="Z17" s="72"/>
      <c r="AA17" s="29"/>
      <c r="AB17" s="29"/>
    </row>
    <row r="18" spans="1:29" ht="25.5" customHeight="1" x14ac:dyDescent="0.2">
      <c r="A18" s="45" t="s">
        <v>57</v>
      </c>
      <c r="B18" s="48">
        <v>334</v>
      </c>
      <c r="C18" s="85" t="s">
        <v>32</v>
      </c>
      <c r="D18" s="48">
        <v>220</v>
      </c>
      <c r="E18" s="85" t="s">
        <v>60</v>
      </c>
      <c r="F18" s="48">
        <v>92</v>
      </c>
      <c r="G18" s="97">
        <f>46.9/B18*1000</f>
        <v>140.4191616766467</v>
      </c>
      <c r="H18" s="97">
        <f>3.8/B18*1000</f>
        <v>11.377245508982035</v>
      </c>
      <c r="I18" s="93">
        <f>1611000/B18</f>
        <v>4823.3532934131736</v>
      </c>
      <c r="J18" s="48">
        <v>44</v>
      </c>
      <c r="K18" s="99">
        <f>-114000/B18</f>
        <v>-341.31736526946105</v>
      </c>
      <c r="L18" s="97">
        <f>14.7/B18*1000</f>
        <v>44.011976047904191</v>
      </c>
      <c r="M18" s="97">
        <f>13/B18*1000</f>
        <v>38.922155688622759</v>
      </c>
      <c r="N18" s="110">
        <v>1.1000000000000001</v>
      </c>
      <c r="O18" s="106">
        <f>44.9/B18*1000</f>
        <v>134.43113772455089</v>
      </c>
      <c r="P18" s="97">
        <f>3.8/B18*1000</f>
        <v>11.377245508982035</v>
      </c>
      <c r="Q18" s="48">
        <v>44</v>
      </c>
      <c r="R18" s="99">
        <f>-120000/B18</f>
        <v>-359.28143712574848</v>
      </c>
      <c r="S18" s="106">
        <f>14.7/B18*1000</f>
        <v>44.011976047904191</v>
      </c>
      <c r="T18" s="106">
        <f>12.6/B18*1000</f>
        <v>37.724550898203589</v>
      </c>
      <c r="U18" s="114">
        <v>1.2</v>
      </c>
      <c r="V18" s="98" t="s">
        <v>14</v>
      </c>
      <c r="W18" s="48" t="s">
        <v>65</v>
      </c>
      <c r="X18" s="51"/>
      <c r="Y18" s="72"/>
      <c r="Z18" s="72"/>
      <c r="AA18" s="29"/>
      <c r="AB18" s="29"/>
    </row>
    <row r="19" spans="1:29" ht="25.5" customHeight="1" x14ac:dyDescent="0.2">
      <c r="A19" s="52" t="s">
        <v>19</v>
      </c>
      <c r="B19" s="29">
        <v>1980</v>
      </c>
      <c r="C19" s="84" t="s">
        <v>18</v>
      </c>
      <c r="D19" s="29">
        <v>139</v>
      </c>
      <c r="E19" s="84" t="s">
        <v>11</v>
      </c>
      <c r="F19" s="29">
        <v>47</v>
      </c>
      <c r="G19" s="33">
        <f>211.5/B19*1000</f>
        <v>106.81818181818181</v>
      </c>
      <c r="H19" s="33">
        <f>10.4/B19*1000</f>
        <v>5.2525252525252526</v>
      </c>
      <c r="I19" s="31">
        <f>5604000/B19</f>
        <v>2830.3030303030305</v>
      </c>
      <c r="J19" s="29">
        <v>38</v>
      </c>
      <c r="K19" s="31">
        <f>-279000/B19</f>
        <v>-140.90909090909091</v>
      </c>
      <c r="L19" s="33">
        <f>66.4/B19*1000</f>
        <v>33.535353535353536</v>
      </c>
      <c r="M19" s="33">
        <f>54.5/B19*1000</f>
        <v>27.525252525252526</v>
      </c>
      <c r="N19" s="102">
        <v>1.2</v>
      </c>
      <c r="O19" s="41">
        <f>202.7/B19*1000</f>
        <v>102.37373737373737</v>
      </c>
      <c r="P19" s="33">
        <f>10.4/B19*1000</f>
        <v>5.2525252525252526</v>
      </c>
      <c r="Q19" s="29">
        <v>39</v>
      </c>
      <c r="R19" s="36">
        <f>-355000/B19</f>
        <v>-179.2929292929293</v>
      </c>
      <c r="S19" s="41">
        <f>66.4/B19*1000</f>
        <v>33.535353535353536</v>
      </c>
      <c r="T19" s="41">
        <f>52.5/B19*1000</f>
        <v>26.515151515151516</v>
      </c>
      <c r="U19" s="76">
        <v>1.3</v>
      </c>
      <c r="V19" s="34" t="s">
        <v>14</v>
      </c>
      <c r="W19" s="29" t="s">
        <v>65</v>
      </c>
      <c r="X19" s="53"/>
      <c r="Y19" s="83"/>
      <c r="Z19" s="29"/>
      <c r="AA19" s="29"/>
      <c r="AB19" s="29"/>
    </row>
    <row r="20" spans="1:29" ht="25.5" customHeight="1" x14ac:dyDescent="0.2">
      <c r="A20" s="52" t="s">
        <v>45</v>
      </c>
      <c r="B20" s="29">
        <v>1525</v>
      </c>
      <c r="C20" s="84" t="s">
        <v>38</v>
      </c>
      <c r="D20" s="29">
        <v>220</v>
      </c>
      <c r="E20" s="84" t="s">
        <v>10</v>
      </c>
      <c r="F20" s="29">
        <v>120</v>
      </c>
      <c r="G20" s="33">
        <f>160.6/B20*1000</f>
        <v>105.31147540983605</v>
      </c>
      <c r="H20" s="33">
        <f>14.5/B20*1000</f>
        <v>9.5081967213114762</v>
      </c>
      <c r="I20" s="31">
        <f>2945000/B20</f>
        <v>1931.1475409836066</v>
      </c>
      <c r="J20" s="29">
        <v>23</v>
      </c>
      <c r="K20" s="36">
        <f>3000/B20</f>
        <v>1.9672131147540983</v>
      </c>
      <c r="L20" s="32">
        <f>52/B20*1000</f>
        <v>34.098360655737707</v>
      </c>
      <c r="M20" s="32">
        <f>45.5/B20*1000</f>
        <v>29.83606557377049</v>
      </c>
      <c r="N20" s="102">
        <v>1.1000000000000001</v>
      </c>
      <c r="O20" s="41">
        <f>139.1/B20*1000</f>
        <v>91.213114754098356</v>
      </c>
      <c r="P20" s="33">
        <f>14.5/B20*1000</f>
        <v>9.5081967213114762</v>
      </c>
      <c r="Q20" s="29">
        <v>23</v>
      </c>
      <c r="R20" s="36">
        <f>-24000/B20</f>
        <v>-15.737704918032787</v>
      </c>
      <c r="S20" s="91">
        <f>52/B20*1000</f>
        <v>34.098360655737707</v>
      </c>
      <c r="T20" s="91">
        <f>40.6/B20*1000</f>
        <v>26.622950819672131</v>
      </c>
      <c r="U20" s="74">
        <v>1.3</v>
      </c>
      <c r="V20" s="34" t="s">
        <v>14</v>
      </c>
      <c r="W20" s="29" t="s">
        <v>65</v>
      </c>
      <c r="X20" s="53"/>
      <c r="Y20" s="83"/>
      <c r="Z20" s="29"/>
      <c r="AA20" s="29"/>
      <c r="AB20" s="29"/>
    </row>
    <row r="21" spans="1:29" ht="25.5" customHeight="1" x14ac:dyDescent="0.2">
      <c r="A21" s="55" t="s">
        <v>68</v>
      </c>
      <c r="B21" s="66">
        <v>140</v>
      </c>
      <c r="C21" s="56" t="s">
        <v>38</v>
      </c>
      <c r="D21" s="57">
        <v>256</v>
      </c>
      <c r="E21" s="56" t="s">
        <v>60</v>
      </c>
      <c r="F21" s="57">
        <v>84</v>
      </c>
      <c r="G21" s="59">
        <f>22.8/B21*1000</f>
        <v>162.85714285714286</v>
      </c>
      <c r="H21" s="59">
        <f>3.4/B21*1000</f>
        <v>24.285714285714285</v>
      </c>
      <c r="I21" s="58">
        <f>396000/B21</f>
        <v>2828.5714285714284</v>
      </c>
      <c r="J21" s="57">
        <v>12</v>
      </c>
      <c r="K21" s="58">
        <f>250000/B21</f>
        <v>1785.7142857142858</v>
      </c>
      <c r="L21" s="69">
        <f>12.5/B21*1000</f>
        <v>89.285714285714292</v>
      </c>
      <c r="M21" s="69">
        <f>10/B21*1000</f>
        <v>71.428571428571431</v>
      </c>
      <c r="N21" s="103">
        <v>1.3</v>
      </c>
      <c r="O21" s="69">
        <f>21.8/B21*1000</f>
        <v>155.71428571428572</v>
      </c>
      <c r="P21" s="59">
        <f>3.4/B21*1000</f>
        <v>24.285714285714285</v>
      </c>
      <c r="Q21" s="58">
        <v>13</v>
      </c>
      <c r="R21" s="100">
        <f>226000/B21</f>
        <v>1614.2857142857142</v>
      </c>
      <c r="S21" s="69">
        <f>12.5/B21*1000</f>
        <v>89.285714285714292</v>
      </c>
      <c r="T21" s="69">
        <f>9.8/B21*1000</f>
        <v>70</v>
      </c>
      <c r="U21" s="77">
        <v>1.3</v>
      </c>
      <c r="V21" s="113" t="s">
        <v>72</v>
      </c>
      <c r="W21" s="29" t="s">
        <v>79</v>
      </c>
      <c r="X21" s="65"/>
      <c r="Y21" s="72"/>
      <c r="Z21" s="72"/>
      <c r="AA21" s="29"/>
      <c r="AB21" s="29"/>
    </row>
    <row r="22" spans="1:29" ht="25.5" customHeight="1" x14ac:dyDescent="0.2">
      <c r="A22" s="45" t="s">
        <v>21</v>
      </c>
      <c r="B22" s="48">
        <v>1980</v>
      </c>
      <c r="C22" s="85" t="s">
        <v>18</v>
      </c>
      <c r="D22" s="48">
        <v>139</v>
      </c>
      <c r="E22" s="85" t="s">
        <v>10</v>
      </c>
      <c r="F22" s="48">
        <v>83</v>
      </c>
      <c r="G22" s="97">
        <f>114.6/B22*1000</f>
        <v>57.878787878787875</v>
      </c>
      <c r="H22" s="97">
        <f>10.4/B22*1000</f>
        <v>5.2525252525252526</v>
      </c>
      <c r="I22" s="93">
        <f>2661000/B22</f>
        <v>1343.939393939394</v>
      </c>
      <c r="J22" s="48">
        <v>28</v>
      </c>
      <c r="K22" s="93">
        <f>-14000/B22</f>
        <v>-7.0707070707070709</v>
      </c>
      <c r="L22" s="97">
        <f>39/B22*1000</f>
        <v>19.696969696969695</v>
      </c>
      <c r="M22" s="97">
        <f>32.5/B22*1000</f>
        <v>16.414141414141415</v>
      </c>
      <c r="N22" s="101">
        <v>1.2</v>
      </c>
      <c r="O22" s="106">
        <f>96.4/B22*1000</f>
        <v>48.686868686868685</v>
      </c>
      <c r="P22" s="97">
        <f>10.4/B22*1000</f>
        <v>5.2525252525252526</v>
      </c>
      <c r="Q22" s="93">
        <v>29</v>
      </c>
      <c r="R22" s="99">
        <f>-36000/B22</f>
        <v>-18.181818181818183</v>
      </c>
      <c r="S22" s="106">
        <f>39/B22*1000</f>
        <v>19.696969696969695</v>
      </c>
      <c r="T22" s="106">
        <f>28.4/B22*1000</f>
        <v>14.343434343434343</v>
      </c>
      <c r="U22" s="114">
        <v>1.4</v>
      </c>
      <c r="V22" s="98" t="s">
        <v>26</v>
      </c>
      <c r="W22" s="48" t="s">
        <v>62</v>
      </c>
      <c r="X22" s="51"/>
      <c r="Y22" s="72"/>
      <c r="Z22" s="29"/>
      <c r="AA22" s="29"/>
      <c r="AB22" s="29"/>
    </row>
    <row r="23" spans="1:29" ht="25.5" customHeight="1" x14ac:dyDescent="0.2">
      <c r="A23" s="55" t="s">
        <v>40</v>
      </c>
      <c r="B23" s="66">
        <v>140</v>
      </c>
      <c r="C23" s="56" t="s">
        <v>43</v>
      </c>
      <c r="D23" s="57">
        <v>354</v>
      </c>
      <c r="E23" s="56" t="s">
        <v>11</v>
      </c>
      <c r="F23" s="57">
        <v>45</v>
      </c>
      <c r="G23" s="59">
        <f>54.8/B23*1000</f>
        <v>391.42857142857139</v>
      </c>
      <c r="H23" s="59">
        <f>-1.5/B23*1000</f>
        <v>-10.714285714285714</v>
      </c>
      <c r="I23" s="58">
        <f>604000/B23</f>
        <v>4314.2857142857147</v>
      </c>
      <c r="J23" s="57">
        <v>10</v>
      </c>
      <c r="K23" s="58">
        <f>582000/B23</f>
        <v>4157.1428571428569</v>
      </c>
      <c r="L23" s="59">
        <f>28.8/B23*1000</f>
        <v>205.71428571428572</v>
      </c>
      <c r="M23" s="59">
        <f>15.3/B23*1000</f>
        <v>109.28571428571429</v>
      </c>
      <c r="N23" s="111">
        <v>1.9</v>
      </c>
      <c r="O23" s="69">
        <f>54.8/B23*1000</f>
        <v>391.42857142857139</v>
      </c>
      <c r="P23" s="59">
        <f>-1.8/B23*1000</f>
        <v>-12.857142857142858</v>
      </c>
      <c r="Q23" s="57">
        <v>10</v>
      </c>
      <c r="R23" s="100">
        <f>573000/B23</f>
        <v>4092.8571428571427</v>
      </c>
      <c r="S23" s="69">
        <f>28.8/B23*1000</f>
        <v>205.71428571428572</v>
      </c>
      <c r="T23" s="69">
        <f>15.1/B23*1000</f>
        <v>107.85714285714286</v>
      </c>
      <c r="U23" s="77">
        <v>1.9</v>
      </c>
      <c r="V23" s="113" t="s">
        <v>71</v>
      </c>
      <c r="W23" s="29" t="s">
        <v>65</v>
      </c>
      <c r="X23" s="65"/>
      <c r="Y23" s="72"/>
      <c r="Z23" s="29"/>
      <c r="AA23" s="29"/>
      <c r="AB23" s="29"/>
    </row>
    <row r="24" spans="1:29" ht="25.5" customHeight="1" x14ac:dyDescent="0.2">
      <c r="A24" s="45" t="s">
        <v>20</v>
      </c>
      <c r="B24" s="48">
        <v>1980</v>
      </c>
      <c r="C24" s="85" t="s">
        <v>18</v>
      </c>
      <c r="D24" s="48">
        <v>139</v>
      </c>
      <c r="E24" s="85" t="s">
        <v>10</v>
      </c>
      <c r="F24" s="48">
        <v>94</v>
      </c>
      <c r="G24" s="97">
        <f>84.6/B24*1000</f>
        <v>42.727272727272727</v>
      </c>
      <c r="H24" s="97">
        <f>9.3/B24*1000</f>
        <v>4.6969696969696981</v>
      </c>
      <c r="I24" s="93">
        <f>1989000/B24</f>
        <v>1004.5454545454545</v>
      </c>
      <c r="J24" s="48">
        <v>28</v>
      </c>
      <c r="K24" s="93">
        <f>384000/B24</f>
        <v>193.93939393939394</v>
      </c>
      <c r="L24" s="97">
        <f>47.3/B24*1000</f>
        <v>23.888888888888886</v>
      </c>
      <c r="M24" s="97">
        <f>25/B24*1000</f>
        <v>12.626262626262626</v>
      </c>
      <c r="N24" s="101">
        <v>1.9</v>
      </c>
      <c r="O24" s="106">
        <f>63.5/B24*1000</f>
        <v>32.070707070707066</v>
      </c>
      <c r="P24" s="97">
        <f>9.3/B24*1000</f>
        <v>4.6969696969696981</v>
      </c>
      <c r="Q24" s="93">
        <v>29</v>
      </c>
      <c r="R24" s="99">
        <f>347000/B24</f>
        <v>175.25252525252526</v>
      </c>
      <c r="S24" s="106">
        <f>47.3/B24*1000</f>
        <v>23.888888888888886</v>
      </c>
      <c r="T24" s="106">
        <f>20.2/B24*1000</f>
        <v>10.202020202020202</v>
      </c>
      <c r="U24" s="114">
        <v>2.2999999999999998</v>
      </c>
      <c r="V24" s="98" t="s">
        <v>13</v>
      </c>
      <c r="W24" s="48" t="s">
        <v>63</v>
      </c>
      <c r="X24" s="51"/>
      <c r="Y24" s="72"/>
      <c r="Z24" s="29"/>
      <c r="AA24" s="29"/>
      <c r="AB24" s="34"/>
    </row>
    <row r="25" spans="1:29" ht="25.5" customHeight="1" x14ac:dyDescent="0.2">
      <c r="A25" s="52" t="s">
        <v>42</v>
      </c>
      <c r="B25" s="29">
        <v>140</v>
      </c>
      <c r="C25" s="84" t="s">
        <v>38</v>
      </c>
      <c r="D25" s="29">
        <v>256</v>
      </c>
      <c r="E25" s="84" t="s">
        <v>11</v>
      </c>
      <c r="F25" s="29">
        <v>49</v>
      </c>
      <c r="G25" s="33">
        <f>39.8/B25*1000</f>
        <v>284.28571428571428</v>
      </c>
      <c r="H25" s="33">
        <f>-1.7/B25*1000</f>
        <v>-12.142857142857142</v>
      </c>
      <c r="I25" s="31">
        <f>566000/B25</f>
        <v>4042.8571428571427</v>
      </c>
      <c r="J25" s="29">
        <v>14</v>
      </c>
      <c r="K25" s="31">
        <f>216000/B25</f>
        <v>1542.8571428571429</v>
      </c>
      <c r="L25" s="41">
        <f>27/B25*1000</f>
        <v>192.85714285714286</v>
      </c>
      <c r="M25" s="41">
        <f>10.7/B25*1000</f>
        <v>76.428571428571431</v>
      </c>
      <c r="N25" s="102">
        <v>2.5</v>
      </c>
      <c r="O25" s="41">
        <f>39.8/B25*1000</f>
        <v>284.28571428571428</v>
      </c>
      <c r="P25" s="33">
        <f>-2/B25*1000</f>
        <v>-14.285714285714285</v>
      </c>
      <c r="Q25" s="31">
        <v>14</v>
      </c>
      <c r="R25" s="36">
        <f>208000/B25</f>
        <v>1485.7142857142858</v>
      </c>
      <c r="S25" s="41">
        <f>27/B25*1000</f>
        <v>192.85714285714286</v>
      </c>
      <c r="T25" s="41">
        <f>10.5/B25*1000</f>
        <v>75</v>
      </c>
      <c r="U25" s="76">
        <v>2.6</v>
      </c>
      <c r="V25" s="34" t="s">
        <v>71</v>
      </c>
      <c r="W25" s="29" t="s">
        <v>65</v>
      </c>
      <c r="X25" s="53"/>
      <c r="Y25" s="72"/>
      <c r="Z25" s="29"/>
      <c r="AA25" s="29"/>
      <c r="AB25" s="34"/>
    </row>
    <row r="26" spans="1:29" ht="25.5" customHeight="1" x14ac:dyDescent="0.2">
      <c r="A26" s="45" t="s">
        <v>30</v>
      </c>
      <c r="B26" s="48">
        <v>144</v>
      </c>
      <c r="C26" s="85" t="s">
        <v>32</v>
      </c>
      <c r="D26" s="48">
        <v>202</v>
      </c>
      <c r="E26" s="85" t="s">
        <v>10</v>
      </c>
      <c r="F26" s="48">
        <v>119</v>
      </c>
      <c r="G26" s="97">
        <f>31.7/B26*1000</f>
        <v>220.13888888888889</v>
      </c>
      <c r="H26" s="97">
        <f>-6.7/B26*1000</f>
        <v>-46.527777777777779</v>
      </c>
      <c r="I26" s="93">
        <f>332000/B26</f>
        <v>2305.5555555555557</v>
      </c>
      <c r="J26" s="48">
        <v>14</v>
      </c>
      <c r="K26" s="93">
        <f>185000/B26</f>
        <v>1284.7222222222222</v>
      </c>
      <c r="L26" s="97">
        <f>17.1/B26*1000</f>
        <v>118.75000000000001</v>
      </c>
      <c r="M26" s="97">
        <f>5.2/B26*1000</f>
        <v>36.111111111111114</v>
      </c>
      <c r="N26" s="101">
        <v>3.3</v>
      </c>
      <c r="O26" s="106">
        <f>31.7/B26*1000</f>
        <v>220.13888888888889</v>
      </c>
      <c r="P26" s="97">
        <f>-7.1/B26*1000</f>
        <v>-49.305555555555557</v>
      </c>
      <c r="Q26" s="93">
        <v>14</v>
      </c>
      <c r="R26" s="99">
        <f>176000/B26</f>
        <v>1222.2222222222222</v>
      </c>
      <c r="S26" s="106">
        <f>17.1/B26*1000</f>
        <v>118.75000000000001</v>
      </c>
      <c r="T26" s="106">
        <f>5/B26*1000</f>
        <v>34.722222222222221</v>
      </c>
      <c r="U26" s="114">
        <v>3.4</v>
      </c>
      <c r="V26" s="98" t="s">
        <v>33</v>
      </c>
      <c r="W26" s="48" t="s">
        <v>62</v>
      </c>
      <c r="X26" s="51"/>
      <c r="Y26" s="72"/>
      <c r="Z26" s="29"/>
      <c r="AA26" s="29"/>
      <c r="AB26" s="34"/>
    </row>
    <row r="27" spans="1:29" ht="25.5" customHeight="1" x14ac:dyDescent="0.2">
      <c r="A27" s="55" t="s">
        <v>28</v>
      </c>
      <c r="B27" s="57">
        <v>144</v>
      </c>
      <c r="C27" s="56" t="s">
        <v>32</v>
      </c>
      <c r="D27" s="57">
        <v>202</v>
      </c>
      <c r="E27" s="56" t="s">
        <v>11</v>
      </c>
      <c r="F27" s="57">
        <v>38</v>
      </c>
      <c r="G27" s="59">
        <f>31.7/B27*1000</f>
        <v>220.13888888888889</v>
      </c>
      <c r="H27" s="59">
        <f>-2.1/B27*1000</f>
        <v>-14.583333333333334</v>
      </c>
      <c r="I27" s="58">
        <f>523000/B27</f>
        <v>3631.9444444444443</v>
      </c>
      <c r="J27" s="57">
        <v>15</v>
      </c>
      <c r="K27" s="58">
        <f>267000/B27</f>
        <v>1854.1666666666667</v>
      </c>
      <c r="L27" s="59">
        <f>30.5/B27*1000</f>
        <v>211.80555555555554</v>
      </c>
      <c r="M27" s="59">
        <f>8.1/B27*1000</f>
        <v>56.249999999999993</v>
      </c>
      <c r="N27" s="103">
        <v>3.8</v>
      </c>
      <c r="O27" s="69">
        <f>31.7/B27*1000</f>
        <v>220.13888888888889</v>
      </c>
      <c r="P27" s="59">
        <f>-2.2/B27*1000</f>
        <v>-15.277777777777779</v>
      </c>
      <c r="Q27" s="57">
        <v>15</v>
      </c>
      <c r="R27" s="100">
        <f>265000/B27</f>
        <v>1840.2777777777778</v>
      </c>
      <c r="S27" s="69">
        <f>30.5/B27*1000</f>
        <v>211.80555555555554</v>
      </c>
      <c r="T27" s="69">
        <f>8/B27*1000</f>
        <v>55.55555555555555</v>
      </c>
      <c r="U27" s="77">
        <v>3.8</v>
      </c>
      <c r="V27" s="60" t="s">
        <v>14</v>
      </c>
      <c r="W27" s="57" t="s">
        <v>65</v>
      </c>
      <c r="X27" s="65"/>
      <c r="Y27" s="72"/>
      <c r="Z27" s="29"/>
      <c r="AA27" s="29"/>
      <c r="AB27" s="34"/>
    </row>
    <row r="28" spans="1:29" ht="12.75" customHeight="1" x14ac:dyDescent="0.2">
      <c r="A28" s="28"/>
      <c r="B28" s="28"/>
      <c r="C28" s="28"/>
      <c r="D28" s="89"/>
      <c r="E28" s="28"/>
      <c r="F28" s="87"/>
      <c r="G28" s="28"/>
      <c r="H28" s="89"/>
      <c r="I28" s="88"/>
      <c r="J28" s="123"/>
      <c r="K28" s="123"/>
      <c r="L28" s="123"/>
      <c r="M28" s="123"/>
      <c r="N28" s="123"/>
      <c r="O28" s="28"/>
      <c r="P28" s="89"/>
      <c r="Q28" s="123"/>
      <c r="R28" s="123"/>
      <c r="S28" s="123"/>
      <c r="T28" s="123"/>
      <c r="U28" s="123"/>
      <c r="V28" s="28"/>
      <c r="W28" s="28"/>
      <c r="X28" s="28"/>
      <c r="Y28" s="28"/>
      <c r="Z28" s="28"/>
      <c r="AA28" s="28"/>
      <c r="AB28" s="28"/>
      <c r="AC28" s="28"/>
    </row>
    <row r="29" spans="1:29" ht="12.75" customHeight="1" x14ac:dyDescent="0.2">
      <c r="A29" s="28"/>
      <c r="B29" s="28"/>
      <c r="C29" s="28"/>
      <c r="D29" s="89"/>
      <c r="E29" s="28"/>
      <c r="F29" s="89"/>
      <c r="G29" s="28"/>
      <c r="H29" s="89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2.75" customHeight="1" x14ac:dyDescent="0.2">
      <c r="A30" s="28"/>
      <c r="B30" s="28"/>
      <c r="C30" s="89"/>
      <c r="D30" s="28"/>
      <c r="E30" s="89"/>
      <c r="F30" s="28"/>
      <c r="G30" s="28"/>
      <c r="H30" s="28"/>
      <c r="I30" s="36"/>
      <c r="J30" s="28"/>
      <c r="K30" s="36"/>
      <c r="L30" s="41"/>
      <c r="M30" s="41"/>
      <c r="N30" s="28"/>
      <c r="O30" s="28"/>
      <c r="P30" s="28"/>
      <c r="Q30" s="28"/>
      <c r="R30" s="36"/>
      <c r="S30" s="41"/>
      <c r="T30" s="41"/>
      <c r="U30" s="41"/>
      <c r="V30" s="28"/>
      <c r="W30" s="90"/>
      <c r="X30" s="90"/>
      <c r="Y30" s="90"/>
      <c r="Z30" s="90"/>
      <c r="AA30" s="28"/>
      <c r="AB30" s="28"/>
      <c r="AC30" s="28"/>
    </row>
    <row r="31" spans="1:29" ht="25.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25.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x14ac:dyDescent="0.2">
      <c r="A34" s="28"/>
      <c r="B34" s="28"/>
      <c r="C34" s="89"/>
      <c r="D34" s="28"/>
      <c r="E34" s="89"/>
      <c r="F34" s="28"/>
      <c r="G34" s="41"/>
      <c r="H34" s="28"/>
      <c r="I34" s="36"/>
      <c r="J34" s="28"/>
      <c r="K34" s="36"/>
      <c r="L34" s="28"/>
      <c r="M34" s="28"/>
      <c r="N34" s="28"/>
      <c r="O34" s="28"/>
      <c r="P34" s="91"/>
      <c r="Q34" s="36"/>
      <c r="R34" s="36"/>
      <c r="S34" s="28"/>
      <c r="T34" s="28"/>
      <c r="U34" s="41"/>
      <c r="V34" s="90"/>
      <c r="W34" s="90"/>
      <c r="X34" s="90"/>
      <c r="Y34" s="90"/>
      <c r="Z34" s="90"/>
      <c r="AA34" s="28"/>
      <c r="AB34" s="28"/>
      <c r="AC34" s="28"/>
    </row>
    <row r="35" spans="1:29" ht="12.75" customHeight="1" x14ac:dyDescent="0.2">
      <c r="A35" s="28"/>
      <c r="B35" s="28"/>
      <c r="C35" s="89"/>
      <c r="D35" s="89"/>
      <c r="E35" s="87"/>
      <c r="F35" s="87"/>
      <c r="G35" s="28"/>
      <c r="H35" s="28"/>
      <c r="I35" s="87"/>
      <c r="J35" s="92"/>
      <c r="K35" s="88"/>
      <c r="L35" s="28"/>
      <c r="M35" s="28"/>
      <c r="N35" s="28"/>
      <c r="O35" s="28"/>
      <c r="P35" s="28"/>
      <c r="Q35" s="92"/>
      <c r="R35" s="8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x14ac:dyDescent="0.2">
      <c r="A36" s="28"/>
      <c r="B36" s="28"/>
      <c r="C36" s="28"/>
      <c r="D36" s="89"/>
      <c r="E36" s="28"/>
      <c r="F36" s="87"/>
      <c r="G36" s="28"/>
      <c r="H36" s="89"/>
      <c r="I36" s="88"/>
      <c r="J36" s="123"/>
      <c r="K36" s="123"/>
      <c r="L36" s="123"/>
      <c r="M36" s="123"/>
      <c r="N36" s="123"/>
      <c r="O36" s="28"/>
      <c r="P36" s="89"/>
      <c r="Q36" s="123"/>
      <c r="R36" s="123"/>
      <c r="S36" s="123"/>
      <c r="T36" s="123"/>
      <c r="U36" s="123"/>
      <c r="V36" s="28"/>
      <c r="W36" s="28"/>
      <c r="X36" s="28"/>
      <c r="Y36" s="28"/>
      <c r="Z36" s="28"/>
      <c r="AA36" s="28"/>
      <c r="AB36" s="28"/>
      <c r="AC36" s="28"/>
    </row>
    <row r="37" spans="1:29" ht="12.75" customHeight="1" x14ac:dyDescent="0.2">
      <c r="A37" s="28"/>
      <c r="B37" s="28"/>
      <c r="C37" s="28"/>
      <c r="D37" s="89"/>
      <c r="E37" s="28"/>
      <c r="F37" s="89"/>
      <c r="G37" s="28"/>
      <c r="H37" s="89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2.75" customHeight="1" x14ac:dyDescent="0.2">
      <c r="A38" s="28"/>
      <c r="B38" s="28"/>
      <c r="C38" s="89"/>
      <c r="D38" s="28"/>
      <c r="E38" s="89"/>
      <c r="F38" s="28"/>
      <c r="G38" s="41"/>
      <c r="H38" s="28"/>
      <c r="I38" s="36"/>
      <c r="J38" s="28"/>
      <c r="K38" s="36"/>
      <c r="L38" s="41"/>
      <c r="M38" s="41"/>
      <c r="N38" s="41"/>
      <c r="O38" s="41"/>
      <c r="P38" s="28"/>
      <c r="Q38" s="28"/>
      <c r="R38" s="36"/>
      <c r="S38" s="41"/>
      <c r="T38" s="41"/>
      <c r="U38" s="41"/>
      <c r="V38" s="28"/>
      <c r="W38" s="90"/>
      <c r="X38" s="90"/>
      <c r="Y38" s="90"/>
      <c r="Z38" s="90"/>
      <c r="AA38" s="28"/>
      <c r="AB38" s="28"/>
      <c r="AC38" s="28"/>
    </row>
    <row r="39" spans="1:29" ht="25.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25.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25.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25.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12.75" customHeight="1" x14ac:dyDescent="0.2">
      <c r="A50" s="28"/>
      <c r="B50" s="28"/>
      <c r="C50" s="89"/>
      <c r="D50" s="89"/>
      <c r="E50" s="87"/>
      <c r="F50" s="87"/>
      <c r="G50" s="28"/>
      <c r="H50" s="28"/>
      <c r="I50" s="87"/>
      <c r="J50" s="92"/>
      <c r="K50" s="8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1:29" x14ac:dyDescent="0.2">
      <c r="A51" s="28"/>
      <c r="B51" s="28"/>
      <c r="C51" s="28"/>
      <c r="D51" s="89"/>
      <c r="E51" s="28"/>
      <c r="F51" s="87"/>
      <c r="G51" s="28"/>
      <c r="H51" s="89"/>
      <c r="I51" s="88"/>
      <c r="J51" s="123"/>
      <c r="K51" s="123"/>
      <c r="L51" s="123"/>
      <c r="M51" s="123"/>
      <c r="N51" s="123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29" ht="12.75" customHeight="1" x14ac:dyDescent="0.2">
      <c r="A52" s="28"/>
      <c r="B52" s="28"/>
      <c r="C52" s="28"/>
      <c r="D52" s="89"/>
      <c r="E52" s="28"/>
      <c r="F52" s="89"/>
      <c r="G52" s="28"/>
      <c r="H52" s="89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29" ht="12.75" customHeight="1" x14ac:dyDescent="0.2">
      <c r="A53" s="28"/>
      <c r="B53" s="28"/>
      <c r="C53" s="89"/>
      <c r="D53" s="28"/>
      <c r="E53" s="89"/>
      <c r="F53" s="28"/>
      <c r="G53" s="28"/>
      <c r="H53" s="28"/>
      <c r="I53" s="36"/>
      <c r="J53" s="28"/>
      <c r="K53" s="36"/>
      <c r="L53" s="41"/>
      <c r="M53" s="41"/>
      <c r="N53" s="41"/>
      <c r="O53" s="28"/>
      <c r="P53" s="90"/>
      <c r="Q53" s="90"/>
      <c r="R53" s="90"/>
      <c r="S53" s="28"/>
      <c r="T53" s="90"/>
      <c r="U53" s="90"/>
      <c r="V53" s="28"/>
      <c r="W53" s="28"/>
      <c r="X53" s="28"/>
      <c r="Y53" s="28"/>
      <c r="Z53" s="28"/>
      <c r="AA53" s="28"/>
      <c r="AB53" s="28"/>
      <c r="AC53" s="28"/>
    </row>
    <row r="54" spans="1:29" ht="25.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90"/>
      <c r="U54" s="90"/>
      <c r="V54" s="28"/>
      <c r="W54" s="28"/>
      <c r="X54" s="28"/>
      <c r="Y54" s="28"/>
      <c r="Z54" s="28"/>
      <c r="AA54" s="28"/>
      <c r="AB54" s="28"/>
      <c r="AC54" s="28"/>
    </row>
    <row r="55" spans="1:29" ht="12.75" customHeight="1" x14ac:dyDescent="0.2">
      <c r="A55" s="28"/>
      <c r="B55" s="28"/>
      <c r="C55" s="89"/>
      <c r="D55" s="28"/>
      <c r="E55" s="89"/>
      <c r="F55" s="28"/>
      <c r="G55" s="28"/>
      <c r="H55" s="28"/>
      <c r="I55" s="36"/>
      <c r="J55" s="28"/>
      <c r="K55" s="36"/>
      <c r="L55" s="41"/>
      <c r="M55" s="41"/>
      <c r="N55" s="28"/>
      <c r="O55" s="28"/>
      <c r="P55" s="90"/>
      <c r="Q55" s="90"/>
      <c r="R55" s="90"/>
      <c r="S55" s="28"/>
      <c r="T55" s="90"/>
      <c r="U55" s="90"/>
      <c r="V55" s="28"/>
      <c r="W55" s="28"/>
      <c r="X55" s="28"/>
      <c r="Y55" s="28"/>
      <c r="Z55" s="28"/>
      <c r="AA55" s="28"/>
      <c r="AB55" s="28"/>
      <c r="AC55" s="28"/>
    </row>
    <row r="56" spans="1:29" ht="25.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90"/>
      <c r="U56" s="90"/>
      <c r="V56" s="28"/>
      <c r="W56" s="28"/>
      <c r="X56" s="28"/>
      <c r="Y56" s="28"/>
      <c r="Z56" s="28"/>
      <c r="AA56" s="28"/>
      <c r="AB56" s="28"/>
      <c r="AC56" s="28"/>
    </row>
    <row r="57" spans="1:29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ht="12.75" customHeight="1" x14ac:dyDescent="0.2">
      <c r="A58" s="28"/>
      <c r="B58" s="28"/>
      <c r="C58" s="89"/>
      <c r="D58" s="89"/>
      <c r="E58" s="87"/>
      <c r="F58" s="87"/>
      <c r="G58" s="28"/>
      <c r="H58" s="28"/>
      <c r="I58" s="87"/>
      <c r="J58" s="92"/>
      <c r="K58" s="8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x14ac:dyDescent="0.2">
      <c r="A59" s="28"/>
      <c r="B59" s="28"/>
      <c r="C59" s="28"/>
      <c r="D59" s="89"/>
      <c r="E59" s="28"/>
      <c r="F59" s="87"/>
      <c r="G59" s="28"/>
      <c r="H59" s="89"/>
      <c r="I59" s="88"/>
      <c r="J59" s="123"/>
      <c r="K59" s="123"/>
      <c r="L59" s="123"/>
      <c r="M59" s="123"/>
      <c r="N59" s="123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ht="12.75" customHeight="1" x14ac:dyDescent="0.2">
      <c r="A60" s="28"/>
      <c r="B60" s="28"/>
      <c r="C60" s="28"/>
      <c r="D60" s="89"/>
      <c r="E60" s="28"/>
      <c r="F60" s="89"/>
      <c r="G60" s="28"/>
      <c r="H60" s="89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1:29" ht="12.75" customHeight="1" x14ac:dyDescent="0.2">
      <c r="A61" s="28"/>
      <c r="B61" s="28"/>
      <c r="C61" s="89"/>
      <c r="D61" s="28"/>
      <c r="E61" s="89"/>
      <c r="F61" s="28"/>
      <c r="G61" s="28"/>
      <c r="H61" s="28"/>
      <c r="I61" s="36"/>
      <c r="J61" s="28"/>
      <c r="K61" s="36"/>
      <c r="L61" s="91"/>
      <c r="M61" s="91"/>
      <c r="N61" s="28"/>
      <c r="O61" s="28"/>
      <c r="P61" s="90"/>
      <c r="Q61" s="90"/>
      <c r="R61" s="90"/>
      <c r="S61" s="28"/>
      <c r="T61" s="90"/>
      <c r="U61" s="90"/>
      <c r="V61" s="28"/>
      <c r="W61" s="28"/>
      <c r="X61" s="28"/>
      <c r="Y61" s="28"/>
      <c r="Z61" s="28"/>
      <c r="AA61" s="28"/>
      <c r="AB61" s="28"/>
      <c r="AC61" s="28"/>
    </row>
    <row r="62" spans="1:29" ht="25.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ht="12.75" customHeight="1" x14ac:dyDescent="0.2">
      <c r="A63" s="28"/>
      <c r="B63" s="28"/>
      <c r="C63" s="89"/>
      <c r="D63" s="28"/>
      <c r="E63" s="89"/>
      <c r="F63" s="28"/>
      <c r="G63" s="28"/>
      <c r="H63" s="28"/>
      <c r="I63" s="36"/>
      <c r="J63" s="28"/>
      <c r="K63" s="36"/>
      <c r="L63" s="91"/>
      <c r="M63" s="91"/>
      <c r="N63" s="28"/>
      <c r="O63" s="28"/>
      <c r="P63" s="90"/>
      <c r="Q63" s="90"/>
      <c r="R63" s="90"/>
      <c r="S63" s="28"/>
      <c r="T63" s="90"/>
      <c r="U63" s="90"/>
      <c r="V63" s="28"/>
      <c r="W63" s="28"/>
      <c r="X63" s="28"/>
      <c r="Y63" s="28"/>
      <c r="Z63" s="28"/>
      <c r="AA63" s="28"/>
      <c r="AB63" s="28"/>
      <c r="AC63" s="28"/>
    </row>
    <row r="64" spans="1:29" ht="25.5" customHeight="1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x14ac:dyDescent="0.2">
      <c r="A66" s="28"/>
      <c r="B66" s="28"/>
      <c r="C66" s="89"/>
      <c r="D66" s="89"/>
      <c r="E66" s="87"/>
      <c r="F66" s="87"/>
      <c r="G66" s="28"/>
      <c r="H66" s="28"/>
      <c r="I66" s="87"/>
      <c r="J66" s="92"/>
      <c r="K66" s="8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1:29" x14ac:dyDescent="0.2">
      <c r="A67" s="28"/>
      <c r="B67" s="28"/>
      <c r="C67" s="28"/>
      <c r="D67" s="89"/>
      <c r="E67" s="28"/>
      <c r="F67" s="87"/>
      <c r="G67" s="28"/>
      <c r="H67" s="89"/>
      <c r="I67" s="88"/>
      <c r="J67" s="123"/>
      <c r="K67" s="123"/>
      <c r="L67" s="123"/>
      <c r="M67" s="123"/>
      <c r="N67" s="123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1:29" x14ac:dyDescent="0.2">
      <c r="A68" s="28"/>
      <c r="B68" s="28"/>
      <c r="C68" s="28"/>
      <c r="D68" s="89"/>
      <c r="E68" s="28"/>
      <c r="F68" s="89"/>
      <c r="G68" s="28"/>
      <c r="H68" s="89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ht="12.75" customHeight="1" x14ac:dyDescent="0.2">
      <c r="A69" s="28"/>
      <c r="B69" s="28"/>
      <c r="C69" s="89"/>
      <c r="D69" s="28"/>
      <c r="E69" s="89"/>
      <c r="F69" s="28"/>
      <c r="G69" s="28"/>
      <c r="H69" s="28"/>
      <c r="I69" s="36"/>
      <c r="J69" s="28"/>
      <c r="K69" s="36"/>
      <c r="L69" s="91"/>
      <c r="M69" s="91"/>
      <c r="N69" s="28"/>
      <c r="O69" s="28"/>
      <c r="P69" s="90"/>
      <c r="Q69" s="90"/>
      <c r="R69" s="90"/>
      <c r="S69" s="28"/>
      <c r="T69" s="90"/>
      <c r="U69" s="90"/>
      <c r="V69" s="28"/>
      <c r="W69" s="28"/>
      <c r="X69" s="28"/>
      <c r="Y69" s="28"/>
      <c r="Z69" s="28"/>
      <c r="AA69" s="28"/>
      <c r="AB69" s="28"/>
      <c r="AC69" s="28"/>
    </row>
    <row r="70" spans="1:29" ht="25.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1:29" ht="12.75" customHeight="1" x14ac:dyDescent="0.2">
      <c r="A71" s="28"/>
      <c r="B71" s="28"/>
      <c r="C71" s="89"/>
      <c r="D71" s="28"/>
      <c r="E71" s="89"/>
      <c r="F71" s="28"/>
      <c r="G71" s="28"/>
      <c r="H71" s="28"/>
      <c r="I71" s="36"/>
      <c r="J71" s="28"/>
      <c r="K71" s="36"/>
      <c r="L71" s="91"/>
      <c r="M71" s="91"/>
      <c r="N71" s="41"/>
      <c r="O71" s="28"/>
      <c r="P71" s="90"/>
      <c r="Q71" s="90"/>
      <c r="R71" s="90"/>
      <c r="S71" s="28"/>
      <c r="T71" s="90"/>
      <c r="U71" s="90"/>
      <c r="V71" s="28"/>
      <c r="W71" s="28"/>
      <c r="X71" s="28"/>
      <c r="Y71" s="28"/>
      <c r="Z71" s="28"/>
      <c r="AA71" s="28"/>
      <c r="AB71" s="28"/>
      <c r="AC71" s="28"/>
    </row>
    <row r="72" spans="1:29" ht="25.5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1:29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90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1:29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1:29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spans="1:29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1:29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</sheetData>
  <sortState ref="A8:W27">
    <sortCondition ref="U8"/>
  </sortState>
  <mergeCells count="13">
    <mergeCell ref="C3:D3"/>
    <mergeCell ref="E3:F3"/>
    <mergeCell ref="J4:N4"/>
    <mergeCell ref="Q4:U4"/>
    <mergeCell ref="L6:M6"/>
    <mergeCell ref="S6:T6"/>
    <mergeCell ref="J67:N67"/>
    <mergeCell ref="J28:N28"/>
    <mergeCell ref="Q28:U28"/>
    <mergeCell ref="J36:N36"/>
    <mergeCell ref="Q36:U36"/>
    <mergeCell ref="J51:N51"/>
    <mergeCell ref="J59:N5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AB72"/>
  <sheetViews>
    <sheetView zoomScale="80" zoomScaleNormal="80" workbookViewId="0">
      <pane xSplit="1" topLeftCell="B1" activePane="topRight" state="frozen"/>
      <selection pane="topRight" activeCell="R9" sqref="R9"/>
    </sheetView>
  </sheetViews>
  <sheetFormatPr defaultRowHeight="12.6" x14ac:dyDescent="0.2"/>
  <cols>
    <col min="1" max="1" width="34.26953125" customWidth="1"/>
    <col min="2" max="2" width="4.26953125" customWidth="1"/>
    <col min="4" max="4" width="4.453125" customWidth="1"/>
    <col min="6" max="6" width="10.90625" customWidth="1"/>
    <col min="7" max="7" width="8.26953125" customWidth="1"/>
    <col min="8" max="8" width="11.6328125" customWidth="1"/>
    <col min="9" max="9" width="4.453125" bestFit="1" customWidth="1"/>
    <col min="10" max="10" width="12.36328125" customWidth="1"/>
    <col min="11" max="11" width="15" bestFit="1" customWidth="1"/>
    <col min="12" max="12" width="9.453125" bestFit="1" customWidth="1"/>
    <col min="13" max="13" width="9.36328125" bestFit="1" customWidth="1"/>
    <col min="14" max="14" width="10.36328125" customWidth="1"/>
    <col min="15" max="15" width="8.453125" customWidth="1"/>
    <col min="16" max="16" width="4.453125" bestFit="1" customWidth="1"/>
    <col min="17" max="17" width="11.90625" customWidth="1"/>
    <col min="18" max="18" width="14.36328125" customWidth="1"/>
    <col min="19" max="19" width="10.08984375" customWidth="1"/>
    <col min="20" max="20" width="9.36328125" customWidth="1"/>
  </cols>
  <sheetData>
    <row r="1" spans="1:28" x14ac:dyDescent="0.2">
      <c r="A1" t="s">
        <v>0</v>
      </c>
      <c r="C1" t="s">
        <v>15</v>
      </c>
      <c r="J1" t="s">
        <v>16</v>
      </c>
      <c r="Q1" t="s">
        <v>17</v>
      </c>
    </row>
    <row r="3" spans="1:28" x14ac:dyDescent="0.2">
      <c r="A3" s="45" t="s">
        <v>1</v>
      </c>
      <c r="B3" s="124" t="s">
        <v>2</v>
      </c>
      <c r="C3" s="124"/>
      <c r="D3" s="125" t="s">
        <v>4</v>
      </c>
      <c r="E3" s="125"/>
      <c r="F3" s="48" t="s">
        <v>7</v>
      </c>
      <c r="G3" s="48"/>
      <c r="H3" s="47" t="s">
        <v>8</v>
      </c>
      <c r="I3" s="49" t="s">
        <v>77</v>
      </c>
      <c r="J3" s="50" t="s">
        <v>78</v>
      </c>
      <c r="K3" s="48" t="s">
        <v>74</v>
      </c>
      <c r="L3" s="48" t="s">
        <v>75</v>
      </c>
      <c r="M3" s="48" t="s">
        <v>76</v>
      </c>
      <c r="N3" s="48" t="s">
        <v>22</v>
      </c>
      <c r="O3" s="48"/>
      <c r="P3" s="49" t="s">
        <v>77</v>
      </c>
      <c r="Q3" s="50" t="s">
        <v>78</v>
      </c>
      <c r="R3" s="48" t="s">
        <v>74</v>
      </c>
      <c r="S3" s="48" t="s">
        <v>75</v>
      </c>
      <c r="T3" s="48" t="s">
        <v>76</v>
      </c>
      <c r="U3" s="48" t="s">
        <v>12</v>
      </c>
      <c r="V3" s="48"/>
      <c r="W3" s="48"/>
      <c r="X3" s="48"/>
      <c r="Y3" s="48"/>
      <c r="Z3" s="48"/>
      <c r="AA3" s="48"/>
      <c r="AB3" s="51"/>
    </row>
    <row r="4" spans="1:28" x14ac:dyDescent="0.2">
      <c r="A4" s="52"/>
      <c r="B4" s="29"/>
      <c r="C4" s="30" t="s">
        <v>3</v>
      </c>
      <c r="D4" s="29"/>
      <c r="E4" s="42" t="s">
        <v>3</v>
      </c>
      <c r="F4" s="29" t="s">
        <v>5</v>
      </c>
      <c r="G4" s="30" t="s">
        <v>6</v>
      </c>
      <c r="H4" s="43" t="s">
        <v>9</v>
      </c>
      <c r="I4" s="126">
        <v>22</v>
      </c>
      <c r="J4" s="126"/>
      <c r="K4" s="126"/>
      <c r="L4" s="126"/>
      <c r="M4" s="126"/>
      <c r="N4" s="29" t="s">
        <v>5</v>
      </c>
      <c r="O4" s="30" t="s">
        <v>6</v>
      </c>
      <c r="P4" s="126">
        <v>23</v>
      </c>
      <c r="Q4" s="126"/>
      <c r="R4" s="126"/>
      <c r="S4" s="126"/>
      <c r="T4" s="126"/>
      <c r="U4" s="29"/>
      <c r="V4" s="29"/>
      <c r="W4" s="29"/>
      <c r="X4" s="29"/>
      <c r="Y4" s="29"/>
      <c r="Z4" s="29"/>
      <c r="AA4" s="29"/>
      <c r="AB4" s="53"/>
    </row>
    <row r="5" spans="1:28" ht="12.75" hidden="1" x14ac:dyDescent="0.2">
      <c r="A5" s="52"/>
      <c r="B5" s="29"/>
      <c r="C5" s="30"/>
      <c r="D5" s="29"/>
      <c r="E5" s="30"/>
      <c r="F5" s="29"/>
      <c r="G5" s="30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53"/>
    </row>
    <row r="6" spans="1:28" ht="12.75" hidden="1" customHeight="1" x14ac:dyDescent="0.2">
      <c r="A6" s="52"/>
      <c r="B6" s="30"/>
      <c r="C6" s="29"/>
      <c r="D6" s="30"/>
      <c r="E6" s="29"/>
      <c r="F6" s="29"/>
      <c r="G6" s="29"/>
      <c r="H6" s="31"/>
      <c r="I6" s="29"/>
      <c r="J6" s="31"/>
      <c r="K6" s="33"/>
      <c r="L6" s="33"/>
      <c r="M6" s="29"/>
      <c r="N6" s="29"/>
      <c r="O6" s="29"/>
      <c r="P6" s="29"/>
      <c r="Q6" s="31"/>
      <c r="R6" s="33"/>
      <c r="S6" s="33"/>
      <c r="T6" s="33"/>
      <c r="U6" s="29"/>
      <c r="V6" s="72"/>
      <c r="W6" s="72"/>
      <c r="X6" s="72"/>
      <c r="Y6" s="72"/>
      <c r="Z6" s="29"/>
      <c r="AA6" s="29"/>
      <c r="AB6" s="53"/>
    </row>
    <row r="7" spans="1:28" ht="25.5" customHeight="1" x14ac:dyDescent="0.2">
      <c r="A7" s="52" t="s">
        <v>19</v>
      </c>
      <c r="B7" s="30" t="s">
        <v>18</v>
      </c>
      <c r="C7" s="29">
        <v>139</v>
      </c>
      <c r="D7" s="30" t="s">
        <v>11</v>
      </c>
      <c r="E7" s="29">
        <v>47</v>
      </c>
      <c r="F7" s="29">
        <v>230.8</v>
      </c>
      <c r="G7" s="29">
        <v>10.4</v>
      </c>
      <c r="H7" s="31">
        <v>5604000</v>
      </c>
      <c r="I7" s="29">
        <v>36</v>
      </c>
      <c r="J7" s="31">
        <v>-125000</v>
      </c>
      <c r="K7" s="33">
        <v>66.400000000000006</v>
      </c>
      <c r="L7" s="33">
        <v>58.9</v>
      </c>
      <c r="M7" s="29">
        <v>1.1000000000000001</v>
      </c>
      <c r="N7" s="28">
        <v>221.4</v>
      </c>
      <c r="O7" s="29">
        <v>10.4</v>
      </c>
      <c r="P7" s="29">
        <v>37</v>
      </c>
      <c r="Q7" s="31">
        <v>-201000</v>
      </c>
      <c r="R7" s="33">
        <v>66.400000000000006</v>
      </c>
      <c r="S7" s="76">
        <v>56.7</v>
      </c>
      <c r="T7" s="33">
        <v>1.2</v>
      </c>
      <c r="U7" s="72" t="s">
        <v>14</v>
      </c>
      <c r="V7" s="72"/>
      <c r="W7" s="72"/>
      <c r="X7" s="72"/>
      <c r="Y7" s="72"/>
      <c r="Z7" s="29" t="s">
        <v>64</v>
      </c>
      <c r="AA7" s="29"/>
      <c r="AB7" s="53"/>
    </row>
    <row r="8" spans="1:28" ht="12.75" hidden="1" customHeight="1" x14ac:dyDescent="0.2">
      <c r="A8" s="52"/>
      <c r="B8" s="30"/>
      <c r="C8" s="29"/>
      <c r="D8" s="30"/>
      <c r="E8" s="29"/>
      <c r="F8" s="29"/>
      <c r="G8" s="29"/>
      <c r="H8" s="31"/>
      <c r="I8" s="29"/>
      <c r="J8" s="31"/>
      <c r="K8" s="33"/>
      <c r="L8" s="33"/>
      <c r="M8" s="29"/>
      <c r="N8" s="28"/>
      <c r="O8" s="32"/>
      <c r="P8" s="31"/>
      <c r="Q8" s="31"/>
      <c r="R8" s="33"/>
      <c r="S8" s="76"/>
      <c r="T8" s="33"/>
      <c r="U8" s="29"/>
      <c r="V8" s="72"/>
      <c r="W8" s="72"/>
      <c r="X8" s="72"/>
      <c r="Y8" s="72"/>
      <c r="Z8" s="29"/>
      <c r="AA8" s="29"/>
      <c r="AB8" s="53"/>
    </row>
    <row r="9" spans="1:28" ht="25.5" customHeight="1" x14ac:dyDescent="0.2">
      <c r="A9" s="52" t="s">
        <v>21</v>
      </c>
      <c r="B9" s="30" t="s">
        <v>18</v>
      </c>
      <c r="C9" s="29">
        <v>139</v>
      </c>
      <c r="D9" s="30" t="s">
        <v>10</v>
      </c>
      <c r="E9" s="29">
        <v>83</v>
      </c>
      <c r="F9" s="33">
        <v>124.5</v>
      </c>
      <c r="G9" s="29">
        <v>10.4</v>
      </c>
      <c r="H9" s="31">
        <v>2661000</v>
      </c>
      <c r="I9" s="29">
        <v>27</v>
      </c>
      <c r="J9" s="31">
        <v>78000</v>
      </c>
      <c r="K9" s="33">
        <v>39</v>
      </c>
      <c r="L9" s="33">
        <v>34.700000000000003</v>
      </c>
      <c r="M9" s="29">
        <v>1.1000000000000001</v>
      </c>
      <c r="N9" s="28">
        <v>105.2</v>
      </c>
      <c r="O9" s="32">
        <v>10.4</v>
      </c>
      <c r="P9" s="31">
        <v>27</v>
      </c>
      <c r="Q9" s="31">
        <v>56000</v>
      </c>
      <c r="R9" s="33">
        <v>39</v>
      </c>
      <c r="S9" s="76">
        <v>30.4</v>
      </c>
      <c r="T9" s="33">
        <v>1.3</v>
      </c>
      <c r="U9" s="72" t="s">
        <v>26</v>
      </c>
      <c r="V9" s="72"/>
      <c r="W9" s="72"/>
      <c r="X9" s="72"/>
      <c r="Y9" s="72"/>
      <c r="Z9" s="29" t="s">
        <v>63</v>
      </c>
      <c r="AA9" s="29"/>
      <c r="AB9" s="53"/>
    </row>
    <row r="10" spans="1:28" ht="12.75" hidden="1" customHeight="1" x14ac:dyDescent="0.2">
      <c r="A10" s="52"/>
      <c r="B10" s="30"/>
      <c r="C10" s="29"/>
      <c r="D10" s="30"/>
      <c r="E10" s="29"/>
      <c r="F10" s="33"/>
      <c r="G10" s="29"/>
      <c r="H10" s="31"/>
      <c r="I10" s="29"/>
      <c r="J10" s="31"/>
      <c r="K10" s="33"/>
      <c r="L10" s="33"/>
      <c r="M10" s="29"/>
      <c r="N10" s="28"/>
      <c r="O10" s="32"/>
      <c r="P10" s="31"/>
      <c r="Q10" s="31"/>
      <c r="R10" s="33"/>
      <c r="S10" s="76"/>
      <c r="T10" s="33"/>
      <c r="U10" s="29"/>
      <c r="V10" s="72"/>
      <c r="W10" s="72"/>
      <c r="X10" s="72"/>
      <c r="Y10" s="72"/>
      <c r="Z10" s="29"/>
      <c r="AA10" s="29"/>
      <c r="AB10" s="53"/>
    </row>
    <row r="11" spans="1:28" ht="25.5" customHeight="1" x14ac:dyDescent="0.2">
      <c r="A11" s="55" t="s">
        <v>20</v>
      </c>
      <c r="B11" s="56" t="s">
        <v>18</v>
      </c>
      <c r="C11" s="57">
        <v>139</v>
      </c>
      <c r="D11" s="56" t="s">
        <v>10</v>
      </c>
      <c r="E11" s="57">
        <v>94</v>
      </c>
      <c r="F11" s="57">
        <v>91.6</v>
      </c>
      <c r="G11" s="57">
        <v>9.3000000000000007</v>
      </c>
      <c r="H11" s="58">
        <v>1989000</v>
      </c>
      <c r="I11" s="57">
        <v>27</v>
      </c>
      <c r="J11" s="58">
        <v>445000</v>
      </c>
      <c r="K11" s="59">
        <v>47.3</v>
      </c>
      <c r="L11" s="59">
        <v>26.6</v>
      </c>
      <c r="M11" s="57">
        <v>1.8</v>
      </c>
      <c r="N11" s="66">
        <v>69.400000000000006</v>
      </c>
      <c r="O11" s="62">
        <v>9.3000000000000007</v>
      </c>
      <c r="P11" s="58">
        <v>28</v>
      </c>
      <c r="Q11" s="58">
        <v>408000</v>
      </c>
      <c r="R11" s="59">
        <v>47.3</v>
      </c>
      <c r="S11" s="77">
        <v>21.6</v>
      </c>
      <c r="T11" s="59">
        <v>2.2000000000000002</v>
      </c>
      <c r="U11" s="73" t="s">
        <v>13</v>
      </c>
      <c r="V11" s="73"/>
      <c r="W11" s="73"/>
      <c r="X11" s="73"/>
      <c r="Y11" s="73"/>
      <c r="Z11" s="57" t="s">
        <v>62</v>
      </c>
      <c r="AA11" s="57"/>
      <c r="AB11" s="65"/>
    </row>
    <row r="12" spans="1:28" ht="12.75" x14ac:dyDescent="0.2">
      <c r="A12" s="29"/>
      <c r="B12" s="30"/>
      <c r="C12" s="29"/>
      <c r="D12" s="30"/>
      <c r="E12" s="29"/>
      <c r="F12" s="29"/>
      <c r="G12" s="29"/>
      <c r="H12" s="31"/>
      <c r="I12" s="29"/>
      <c r="J12" s="31"/>
      <c r="K12" s="29"/>
      <c r="L12" s="29"/>
      <c r="M12" s="29"/>
      <c r="N12" s="36"/>
      <c r="O12" s="31"/>
      <c r="P12" s="29"/>
      <c r="Q12" s="31"/>
      <c r="R12" s="29"/>
      <c r="S12" s="29"/>
      <c r="T12" s="33"/>
      <c r="U12" s="29"/>
      <c r="V12" s="29"/>
      <c r="W12" s="29"/>
      <c r="X12" s="29"/>
      <c r="Y12" s="29"/>
    </row>
    <row r="13" spans="1:28" x14ac:dyDescent="0.2">
      <c r="A13" s="45" t="s">
        <v>1</v>
      </c>
      <c r="B13" s="124" t="s">
        <v>2</v>
      </c>
      <c r="C13" s="124"/>
      <c r="D13" s="125" t="s">
        <v>4</v>
      </c>
      <c r="E13" s="125"/>
      <c r="F13" s="48" t="s">
        <v>31</v>
      </c>
      <c r="G13" s="48"/>
      <c r="H13" s="47" t="s">
        <v>8</v>
      </c>
      <c r="I13" s="49" t="s">
        <v>77</v>
      </c>
      <c r="J13" s="50" t="s">
        <v>78</v>
      </c>
      <c r="K13" s="48" t="s">
        <v>74</v>
      </c>
      <c r="L13" s="48" t="s">
        <v>75</v>
      </c>
      <c r="M13" s="48" t="s">
        <v>76</v>
      </c>
      <c r="N13" s="80" t="s">
        <v>7</v>
      </c>
      <c r="O13" s="48"/>
      <c r="P13" s="49" t="s">
        <v>77</v>
      </c>
      <c r="Q13" s="50" t="s">
        <v>78</v>
      </c>
      <c r="R13" s="48" t="s">
        <v>74</v>
      </c>
      <c r="S13" s="48" t="s">
        <v>75</v>
      </c>
      <c r="T13" s="48" t="s">
        <v>76</v>
      </c>
      <c r="U13" s="48" t="s">
        <v>12</v>
      </c>
      <c r="V13" s="48"/>
      <c r="W13" s="48"/>
      <c r="X13" s="48"/>
      <c r="Y13" s="48"/>
      <c r="Z13" s="48"/>
      <c r="AA13" s="48"/>
      <c r="AB13" s="51"/>
    </row>
    <row r="14" spans="1:28" x14ac:dyDescent="0.2">
      <c r="A14" s="52"/>
      <c r="B14" s="29"/>
      <c r="C14" s="30" t="s">
        <v>3</v>
      </c>
      <c r="D14" s="29"/>
      <c r="E14" s="42" t="s">
        <v>3</v>
      </c>
      <c r="F14" s="29" t="s">
        <v>5</v>
      </c>
      <c r="G14" s="30" t="s">
        <v>6</v>
      </c>
      <c r="H14" s="43" t="s">
        <v>9</v>
      </c>
      <c r="I14" s="126">
        <v>21</v>
      </c>
      <c r="J14" s="126"/>
      <c r="K14" s="126"/>
      <c r="L14" s="126"/>
      <c r="M14" s="126"/>
      <c r="N14" s="28" t="s">
        <v>5</v>
      </c>
      <c r="O14" s="30" t="s">
        <v>6</v>
      </c>
      <c r="P14" s="126">
        <v>22</v>
      </c>
      <c r="Q14" s="126"/>
      <c r="R14" s="126"/>
      <c r="S14" s="126"/>
      <c r="T14" s="126"/>
      <c r="U14" s="29"/>
      <c r="V14" s="29"/>
      <c r="W14" s="29"/>
      <c r="X14" s="29"/>
      <c r="Y14" s="29"/>
      <c r="Z14" s="29"/>
      <c r="AA14" s="29"/>
      <c r="AB14" s="53"/>
    </row>
    <row r="15" spans="1:28" ht="12.75" hidden="1" x14ac:dyDescent="0.2">
      <c r="A15" s="52"/>
      <c r="B15" s="29"/>
      <c r="C15" s="30"/>
      <c r="D15" s="29"/>
      <c r="E15" s="30"/>
      <c r="F15" s="29"/>
      <c r="G15" s="30"/>
      <c r="H15" s="29"/>
      <c r="I15" s="29"/>
      <c r="J15" s="29"/>
      <c r="K15" s="29"/>
      <c r="L15" s="29"/>
      <c r="M15" s="29"/>
      <c r="N15" s="28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53"/>
    </row>
    <row r="16" spans="1:28" ht="12.75" hidden="1" customHeight="1" x14ac:dyDescent="0.2">
      <c r="A16" s="52"/>
      <c r="B16" s="30"/>
      <c r="C16" s="29"/>
      <c r="D16" s="30"/>
      <c r="E16" s="29"/>
      <c r="F16" s="29"/>
      <c r="G16" s="29"/>
      <c r="H16" s="31"/>
      <c r="I16" s="29"/>
      <c r="J16" s="31"/>
      <c r="K16" s="63"/>
      <c r="L16" s="63"/>
      <c r="M16" s="29"/>
      <c r="N16" s="28"/>
      <c r="O16" s="29"/>
      <c r="P16" s="29"/>
      <c r="Q16" s="31"/>
      <c r="R16" s="33"/>
      <c r="S16" s="33"/>
      <c r="T16" s="33"/>
      <c r="U16" s="29"/>
      <c r="V16" s="72"/>
      <c r="W16" s="72"/>
      <c r="X16" s="72"/>
      <c r="Y16" s="72"/>
      <c r="Z16" s="29"/>
      <c r="AA16" s="29"/>
      <c r="AB16" s="53"/>
    </row>
    <row r="17" spans="1:28" ht="25.5" customHeight="1" x14ac:dyDescent="0.2">
      <c r="A17" s="52" t="s">
        <v>51</v>
      </c>
      <c r="B17" s="30" t="s">
        <v>18</v>
      </c>
      <c r="C17" s="29">
        <v>141</v>
      </c>
      <c r="D17" s="30" t="s">
        <v>60</v>
      </c>
      <c r="E17" s="29">
        <v>69</v>
      </c>
      <c r="F17" s="29">
        <v>341.9</v>
      </c>
      <c r="G17" s="29">
        <v>-6.2</v>
      </c>
      <c r="H17" s="31">
        <v>5851000</v>
      </c>
      <c r="I17" s="29">
        <v>30</v>
      </c>
      <c r="J17" s="31">
        <v>-1521000</v>
      </c>
      <c r="K17" s="63">
        <v>55.6</v>
      </c>
      <c r="L17" s="63">
        <v>73.7</v>
      </c>
      <c r="M17" s="29">
        <v>0.8</v>
      </c>
      <c r="N17" s="28">
        <v>319.39999999999998</v>
      </c>
      <c r="O17" s="29">
        <v>-6.2</v>
      </c>
      <c r="P17" s="29">
        <v>31</v>
      </c>
      <c r="Q17" s="31">
        <v>-1650000</v>
      </c>
      <c r="R17" s="33">
        <v>55.6</v>
      </c>
      <c r="S17" s="76">
        <v>68.599999999999994</v>
      </c>
      <c r="T17" s="33">
        <v>0.8</v>
      </c>
      <c r="U17" s="72" t="s">
        <v>14</v>
      </c>
      <c r="V17" s="72"/>
      <c r="W17" s="72"/>
      <c r="X17" s="72"/>
      <c r="Y17" s="72"/>
      <c r="Z17" s="29" t="s">
        <v>64</v>
      </c>
      <c r="AA17" s="29"/>
      <c r="AB17" s="53"/>
    </row>
    <row r="18" spans="1:28" ht="12.75" hidden="1" customHeight="1" x14ac:dyDescent="0.2">
      <c r="A18" s="52"/>
      <c r="B18" s="30"/>
      <c r="C18" s="29"/>
      <c r="D18" s="30"/>
      <c r="E18" s="29"/>
      <c r="F18" s="29"/>
      <c r="G18" s="29"/>
      <c r="H18" s="31"/>
      <c r="I18" s="29"/>
      <c r="J18" s="31"/>
      <c r="K18" s="63"/>
      <c r="L18" s="63"/>
      <c r="M18" s="29"/>
      <c r="N18" s="28"/>
      <c r="O18" s="32"/>
      <c r="P18" s="31"/>
      <c r="Q18" s="31"/>
      <c r="R18" s="33"/>
      <c r="S18" s="76"/>
      <c r="T18" s="33"/>
      <c r="U18" s="29"/>
      <c r="V18" s="72"/>
      <c r="W18" s="72"/>
      <c r="X18" s="72"/>
      <c r="Y18" s="72"/>
      <c r="Z18" s="29"/>
      <c r="AA18" s="29"/>
      <c r="AB18" s="53"/>
    </row>
    <row r="19" spans="1:28" ht="25.5" customHeight="1" x14ac:dyDescent="0.2">
      <c r="A19" s="52" t="s">
        <v>53</v>
      </c>
      <c r="B19" s="30" t="s">
        <v>18</v>
      </c>
      <c r="C19" s="29">
        <v>141</v>
      </c>
      <c r="D19" s="30" t="s">
        <v>10</v>
      </c>
      <c r="E19" s="29">
        <v>93</v>
      </c>
      <c r="F19" s="29">
        <v>214.5</v>
      </c>
      <c r="G19" s="29">
        <v>9.3000000000000007</v>
      </c>
      <c r="H19" s="31">
        <v>1602000</v>
      </c>
      <c r="I19" s="29">
        <v>13</v>
      </c>
      <c r="J19" s="31">
        <v>1402000</v>
      </c>
      <c r="K19" s="63">
        <v>37.1</v>
      </c>
      <c r="L19" s="63">
        <v>54.5</v>
      </c>
      <c r="M19" s="29">
        <v>0.7</v>
      </c>
      <c r="N19" s="28">
        <v>180.1</v>
      </c>
      <c r="O19" s="32">
        <v>9.3000000000000007</v>
      </c>
      <c r="P19" s="31">
        <v>14</v>
      </c>
      <c r="Q19" s="31">
        <v>1304000</v>
      </c>
      <c r="R19" s="33">
        <v>37.1</v>
      </c>
      <c r="S19" s="76">
        <v>46.7</v>
      </c>
      <c r="T19" s="33">
        <v>0.8</v>
      </c>
      <c r="U19" s="72" t="s">
        <v>13</v>
      </c>
      <c r="V19" s="72"/>
      <c r="W19" s="72"/>
      <c r="X19" s="72"/>
      <c r="Y19" s="72"/>
      <c r="Z19" s="29" t="s">
        <v>63</v>
      </c>
      <c r="AA19" s="29"/>
      <c r="AB19" s="53"/>
    </row>
    <row r="20" spans="1:28" ht="12.75" hidden="1" customHeight="1" x14ac:dyDescent="0.2">
      <c r="A20" s="52"/>
      <c r="B20" s="30"/>
      <c r="C20" s="28"/>
      <c r="D20" s="30"/>
      <c r="E20" s="28"/>
      <c r="F20" s="33"/>
      <c r="G20" s="28"/>
      <c r="H20" s="31"/>
      <c r="I20" s="28"/>
      <c r="J20" s="31"/>
      <c r="K20" s="63"/>
      <c r="L20" s="40"/>
      <c r="M20" s="28"/>
      <c r="N20" s="28"/>
      <c r="O20" s="32"/>
      <c r="P20" s="31"/>
      <c r="Q20" s="31"/>
      <c r="R20" s="33"/>
      <c r="S20" s="76"/>
      <c r="T20" s="33"/>
      <c r="U20" s="29"/>
      <c r="V20" s="72"/>
      <c r="W20" s="72"/>
      <c r="X20" s="72"/>
      <c r="Y20" s="72"/>
      <c r="Z20" s="29"/>
      <c r="AA20" s="29"/>
      <c r="AB20" s="53"/>
    </row>
    <row r="21" spans="1:28" ht="25.5" customHeight="1" x14ac:dyDescent="0.2">
      <c r="A21" s="55" t="s">
        <v>55</v>
      </c>
      <c r="B21" s="56" t="s">
        <v>18</v>
      </c>
      <c r="C21" s="66">
        <v>141</v>
      </c>
      <c r="D21" s="56" t="s">
        <v>10</v>
      </c>
      <c r="E21" s="66">
        <v>91</v>
      </c>
      <c r="F21" s="59">
        <v>276.2</v>
      </c>
      <c r="G21" s="66">
        <v>-15.6</v>
      </c>
      <c r="H21" s="58">
        <v>4836000</v>
      </c>
      <c r="I21" s="66">
        <v>34</v>
      </c>
      <c r="J21" s="58">
        <v>-1815000</v>
      </c>
      <c r="K21" s="67">
        <v>35.799999999999997</v>
      </c>
      <c r="L21" s="68">
        <v>53</v>
      </c>
      <c r="M21" s="66">
        <v>0.7</v>
      </c>
      <c r="N21" s="66">
        <v>247.4</v>
      </c>
      <c r="O21" s="62">
        <v>-15.6</v>
      </c>
      <c r="P21" s="58">
        <v>35</v>
      </c>
      <c r="Q21" s="58">
        <v>-1869000</v>
      </c>
      <c r="R21" s="59">
        <v>35.799999999999997</v>
      </c>
      <c r="S21" s="77">
        <v>46.5</v>
      </c>
      <c r="T21" s="59">
        <v>0.8</v>
      </c>
      <c r="U21" s="73" t="s">
        <v>61</v>
      </c>
      <c r="V21" s="73"/>
      <c r="W21" s="73"/>
      <c r="X21" s="73"/>
      <c r="Y21" s="73"/>
      <c r="Z21" s="57" t="s">
        <v>62</v>
      </c>
      <c r="AA21" s="57"/>
      <c r="AB21" s="65"/>
    </row>
    <row r="22" spans="1:28" ht="12.75" x14ac:dyDescent="0.2">
      <c r="N22" s="81"/>
    </row>
    <row r="23" spans="1:28" ht="13.5" thickBot="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82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2.75" x14ac:dyDescent="0.2">
      <c r="N24" s="81"/>
    </row>
    <row r="25" spans="1:28" ht="12.75" customHeight="1" x14ac:dyDescent="0.2">
      <c r="N25" s="81"/>
    </row>
    <row r="26" spans="1:28" ht="12.75" customHeight="1" x14ac:dyDescent="0.2">
      <c r="A26" s="45" t="s">
        <v>1</v>
      </c>
      <c r="B26" s="124" t="s">
        <v>2</v>
      </c>
      <c r="C26" s="124"/>
      <c r="D26" s="125" t="s">
        <v>4</v>
      </c>
      <c r="E26" s="125"/>
      <c r="F26" s="48" t="s">
        <v>31</v>
      </c>
      <c r="G26" s="48"/>
      <c r="H26" s="47" t="s">
        <v>8</v>
      </c>
      <c r="I26" s="49" t="s">
        <v>77</v>
      </c>
      <c r="J26" s="50" t="s">
        <v>78</v>
      </c>
      <c r="K26" s="48" t="s">
        <v>74</v>
      </c>
      <c r="L26" s="48" t="s">
        <v>75</v>
      </c>
      <c r="M26" s="48" t="s">
        <v>76</v>
      </c>
      <c r="N26" s="80" t="s">
        <v>7</v>
      </c>
      <c r="O26" s="48"/>
      <c r="P26" s="49" t="s">
        <v>77</v>
      </c>
      <c r="Q26" s="50" t="s">
        <v>78</v>
      </c>
      <c r="R26" s="48" t="s">
        <v>74</v>
      </c>
      <c r="S26" s="48" t="s">
        <v>75</v>
      </c>
      <c r="T26" s="48" t="s">
        <v>76</v>
      </c>
      <c r="U26" s="48" t="s">
        <v>12</v>
      </c>
      <c r="V26" s="48"/>
      <c r="W26" s="48"/>
      <c r="X26" s="48"/>
      <c r="Y26" s="48"/>
      <c r="Z26" s="48"/>
      <c r="AA26" s="48"/>
      <c r="AB26" s="51"/>
    </row>
    <row r="27" spans="1:28" ht="12.75" customHeight="1" x14ac:dyDescent="0.2">
      <c r="A27" s="52"/>
      <c r="B27" s="29"/>
      <c r="C27" s="30" t="s">
        <v>3</v>
      </c>
      <c r="D27" s="29"/>
      <c r="E27" s="42" t="s">
        <v>3</v>
      </c>
      <c r="F27" s="29" t="s">
        <v>5</v>
      </c>
      <c r="G27" s="30" t="s">
        <v>6</v>
      </c>
      <c r="H27" s="43" t="s">
        <v>9</v>
      </c>
      <c r="I27" s="126">
        <v>21</v>
      </c>
      <c r="J27" s="126"/>
      <c r="K27" s="126"/>
      <c r="L27" s="126"/>
      <c r="M27" s="126"/>
      <c r="N27" s="28" t="s">
        <v>5</v>
      </c>
      <c r="O27" s="30" t="s">
        <v>6</v>
      </c>
      <c r="P27" s="126">
        <v>22</v>
      </c>
      <c r="Q27" s="126"/>
      <c r="R27" s="126"/>
      <c r="S27" s="126"/>
      <c r="T27" s="126"/>
      <c r="U27" s="29"/>
      <c r="V27" s="29"/>
      <c r="W27" s="29"/>
      <c r="X27" s="29"/>
      <c r="Y27" s="29"/>
      <c r="Z27" s="29"/>
      <c r="AA27" s="29"/>
      <c r="AB27" s="53"/>
    </row>
    <row r="28" spans="1:28" ht="12.75" hidden="1" customHeight="1" x14ac:dyDescent="0.2">
      <c r="A28" s="52"/>
      <c r="B28" s="29"/>
      <c r="C28" s="30"/>
      <c r="D28" s="29"/>
      <c r="E28" s="30"/>
      <c r="F28" s="29"/>
      <c r="G28" s="30"/>
      <c r="H28" s="29"/>
      <c r="I28" s="29"/>
      <c r="J28" s="29"/>
      <c r="K28" s="29"/>
      <c r="L28" s="29"/>
      <c r="M28" s="29"/>
      <c r="N28" s="28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53"/>
    </row>
    <row r="29" spans="1:28" ht="12.75" hidden="1" customHeight="1" x14ac:dyDescent="0.2">
      <c r="A29" s="52"/>
      <c r="B29" s="30"/>
      <c r="C29" s="29"/>
      <c r="D29" s="30"/>
      <c r="E29" s="29"/>
      <c r="F29" s="29"/>
      <c r="G29" s="29"/>
      <c r="H29" s="31"/>
      <c r="I29" s="29"/>
      <c r="J29" s="31"/>
      <c r="K29" s="33"/>
      <c r="L29" s="33"/>
      <c r="M29" s="29"/>
      <c r="N29" s="28"/>
      <c r="O29" s="29"/>
      <c r="P29" s="29"/>
      <c r="Q29" s="31"/>
      <c r="R29" s="33"/>
      <c r="S29" s="33"/>
      <c r="T29" s="33"/>
      <c r="U29" s="29"/>
      <c r="V29" s="34"/>
      <c r="W29" s="34"/>
      <c r="X29" s="34"/>
      <c r="Y29" s="34"/>
      <c r="Z29" s="29"/>
      <c r="AA29" s="29"/>
      <c r="AB29" s="53"/>
    </row>
    <row r="30" spans="1:28" ht="25.5" customHeight="1" x14ac:dyDescent="0.2">
      <c r="A30" s="52" t="s">
        <v>28</v>
      </c>
      <c r="B30" s="30" t="s">
        <v>32</v>
      </c>
      <c r="C30" s="29">
        <v>202</v>
      </c>
      <c r="D30" s="30" t="s">
        <v>11</v>
      </c>
      <c r="E30" s="29">
        <v>38</v>
      </c>
      <c r="F30" s="29">
        <v>31.7</v>
      </c>
      <c r="G30" s="29">
        <v>-2.1</v>
      </c>
      <c r="H30" s="31">
        <v>523000</v>
      </c>
      <c r="I30" s="29">
        <v>15</v>
      </c>
      <c r="J30" s="31">
        <v>267000</v>
      </c>
      <c r="K30" s="33">
        <v>30.5</v>
      </c>
      <c r="L30" s="33">
        <v>8.1</v>
      </c>
      <c r="M30" s="29">
        <v>3.8</v>
      </c>
      <c r="N30" s="28">
        <v>31.7</v>
      </c>
      <c r="O30" s="29">
        <v>-2.2000000000000002</v>
      </c>
      <c r="P30" s="29">
        <v>15</v>
      </c>
      <c r="Q30" s="31">
        <v>265000</v>
      </c>
      <c r="R30" s="33">
        <v>30.5</v>
      </c>
      <c r="S30" s="76">
        <v>8</v>
      </c>
      <c r="T30" s="33">
        <v>3.8</v>
      </c>
      <c r="U30" s="72" t="s">
        <v>14</v>
      </c>
      <c r="V30" s="72"/>
      <c r="W30" s="72"/>
      <c r="X30" s="72"/>
      <c r="Y30" s="72"/>
      <c r="Z30" s="29" t="s">
        <v>65</v>
      </c>
      <c r="AA30" s="29"/>
      <c r="AB30" s="53"/>
    </row>
    <row r="31" spans="1:28" ht="12.75" hidden="1" customHeight="1" x14ac:dyDescent="0.2">
      <c r="A31" s="52"/>
      <c r="B31" s="30"/>
      <c r="C31" s="29"/>
      <c r="D31" s="30"/>
      <c r="E31" s="29"/>
      <c r="F31" s="29"/>
      <c r="G31" s="29"/>
      <c r="H31" s="31"/>
      <c r="I31" s="29"/>
      <c r="J31" s="31"/>
      <c r="K31" s="33"/>
      <c r="L31" s="33"/>
      <c r="M31" s="29"/>
      <c r="N31" s="28"/>
      <c r="O31" s="32"/>
      <c r="P31" s="31"/>
      <c r="Q31" s="31"/>
      <c r="R31" s="33"/>
      <c r="S31" s="76"/>
      <c r="T31" s="33"/>
      <c r="U31" s="29"/>
      <c r="V31" s="34"/>
      <c r="W31" s="34"/>
      <c r="X31" s="34"/>
      <c r="Y31" s="34"/>
      <c r="Z31" s="29"/>
      <c r="AA31" s="29"/>
      <c r="AB31" s="53"/>
    </row>
    <row r="32" spans="1:28" ht="25.5" customHeight="1" x14ac:dyDescent="0.2">
      <c r="A32" s="55" t="s">
        <v>30</v>
      </c>
      <c r="B32" s="56" t="s">
        <v>32</v>
      </c>
      <c r="C32" s="57">
        <v>202</v>
      </c>
      <c r="D32" s="56" t="s">
        <v>10</v>
      </c>
      <c r="E32" s="57">
        <v>119</v>
      </c>
      <c r="F32" s="57">
        <v>31.7</v>
      </c>
      <c r="G32" s="57">
        <v>-6.7</v>
      </c>
      <c r="H32" s="58">
        <v>332000</v>
      </c>
      <c r="I32" s="57">
        <v>14</v>
      </c>
      <c r="J32" s="58">
        <v>185000</v>
      </c>
      <c r="K32" s="59">
        <v>17.100000000000001</v>
      </c>
      <c r="L32" s="59">
        <v>5.2</v>
      </c>
      <c r="M32" s="57">
        <v>3.3</v>
      </c>
      <c r="N32" s="66">
        <v>31.7</v>
      </c>
      <c r="O32" s="62">
        <v>-7.1</v>
      </c>
      <c r="P32" s="58">
        <v>14</v>
      </c>
      <c r="Q32" s="58">
        <v>176000</v>
      </c>
      <c r="R32" s="59">
        <v>17.100000000000001</v>
      </c>
      <c r="S32" s="77">
        <v>5</v>
      </c>
      <c r="T32" s="59">
        <v>3.4</v>
      </c>
      <c r="U32" s="73" t="s">
        <v>33</v>
      </c>
      <c r="V32" s="73"/>
      <c r="W32" s="73"/>
      <c r="X32" s="73"/>
      <c r="Y32" s="73"/>
      <c r="Z32" s="57" t="s">
        <v>62</v>
      </c>
      <c r="AA32" s="57"/>
      <c r="AB32" s="65"/>
    </row>
    <row r="33" spans="1:28" ht="12.75" x14ac:dyDescent="0.2">
      <c r="A33" s="29"/>
      <c r="B33" s="30"/>
      <c r="C33" s="29"/>
      <c r="D33" s="30"/>
      <c r="E33" s="29"/>
      <c r="F33" s="33"/>
      <c r="G33" s="29"/>
      <c r="H33" s="31"/>
      <c r="I33" s="29"/>
      <c r="J33" s="31"/>
      <c r="K33" s="29"/>
      <c r="L33" s="29"/>
      <c r="M33" s="29"/>
      <c r="N33" s="28"/>
      <c r="O33" s="32"/>
      <c r="P33" s="31"/>
      <c r="Q33" s="31"/>
      <c r="R33" s="29"/>
      <c r="S33" s="29"/>
      <c r="T33" s="33"/>
      <c r="U33" s="34"/>
      <c r="V33" s="34"/>
      <c r="W33" s="34"/>
      <c r="X33" s="34"/>
      <c r="Y33" s="34"/>
    </row>
    <row r="34" spans="1:28" ht="12.75" customHeight="1" x14ac:dyDescent="0.2">
      <c r="A34" s="45" t="s">
        <v>1</v>
      </c>
      <c r="B34" s="46" t="s">
        <v>2</v>
      </c>
      <c r="C34" s="46"/>
      <c r="D34" s="47" t="s">
        <v>4</v>
      </c>
      <c r="E34" s="47"/>
      <c r="F34" s="48" t="s">
        <v>49</v>
      </c>
      <c r="G34" s="48"/>
      <c r="H34" s="47" t="s">
        <v>8</v>
      </c>
      <c r="I34" s="49" t="s">
        <v>77</v>
      </c>
      <c r="J34" s="50" t="s">
        <v>78</v>
      </c>
      <c r="K34" s="48" t="s">
        <v>74</v>
      </c>
      <c r="L34" s="48" t="s">
        <v>75</v>
      </c>
      <c r="M34" s="48" t="s">
        <v>76</v>
      </c>
      <c r="N34" s="80" t="s">
        <v>7</v>
      </c>
      <c r="O34" s="48"/>
      <c r="P34" s="49" t="s">
        <v>77</v>
      </c>
      <c r="Q34" s="50" t="s">
        <v>78</v>
      </c>
      <c r="R34" s="48" t="s">
        <v>74</v>
      </c>
      <c r="S34" s="48" t="s">
        <v>75</v>
      </c>
      <c r="T34" s="48" t="s">
        <v>76</v>
      </c>
      <c r="U34" s="48" t="s">
        <v>12</v>
      </c>
      <c r="V34" s="48"/>
      <c r="W34" s="48"/>
      <c r="X34" s="48"/>
      <c r="Y34" s="48"/>
      <c r="Z34" s="48"/>
      <c r="AA34" s="48"/>
      <c r="AB34" s="51"/>
    </row>
    <row r="35" spans="1:28" x14ac:dyDescent="0.2">
      <c r="A35" s="52"/>
      <c r="B35" s="29"/>
      <c r="C35" s="30" t="s">
        <v>3</v>
      </c>
      <c r="D35" s="29"/>
      <c r="E35" s="42" t="s">
        <v>3</v>
      </c>
      <c r="F35" s="29" t="s">
        <v>5</v>
      </c>
      <c r="G35" s="30" t="s">
        <v>6</v>
      </c>
      <c r="H35" s="43" t="s">
        <v>9</v>
      </c>
      <c r="I35" s="126">
        <v>20</v>
      </c>
      <c r="J35" s="126"/>
      <c r="K35" s="126"/>
      <c r="L35" s="126"/>
      <c r="M35" s="126"/>
      <c r="N35" s="28" t="s">
        <v>5</v>
      </c>
      <c r="O35" s="30" t="s">
        <v>6</v>
      </c>
      <c r="P35" s="126">
        <v>22</v>
      </c>
      <c r="Q35" s="126"/>
      <c r="R35" s="126"/>
      <c r="S35" s="126"/>
      <c r="T35" s="126"/>
      <c r="U35" s="29"/>
      <c r="V35" s="29"/>
      <c r="W35" s="29"/>
      <c r="X35" s="29"/>
      <c r="Y35" s="29"/>
      <c r="Z35" s="29"/>
      <c r="AA35" s="29"/>
      <c r="AB35" s="53"/>
    </row>
    <row r="36" spans="1:28" ht="12.75" hidden="1" customHeight="1" x14ac:dyDescent="0.2">
      <c r="A36" s="52"/>
      <c r="B36" s="29"/>
      <c r="C36" s="30"/>
      <c r="D36" s="29"/>
      <c r="E36" s="30"/>
      <c r="F36" s="29"/>
      <c r="G36" s="30"/>
      <c r="H36" s="29"/>
      <c r="I36" s="29"/>
      <c r="J36" s="29"/>
      <c r="K36" s="29"/>
      <c r="L36" s="29"/>
      <c r="M36" s="29"/>
      <c r="N36" s="28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53"/>
    </row>
    <row r="37" spans="1:28" ht="12.75" hidden="1" customHeight="1" x14ac:dyDescent="0.2">
      <c r="A37" s="52"/>
      <c r="B37" s="30"/>
      <c r="C37" s="29"/>
      <c r="D37" s="30"/>
      <c r="E37" s="29"/>
      <c r="F37" s="33"/>
      <c r="G37" s="29"/>
      <c r="H37" s="31"/>
      <c r="I37" s="29"/>
      <c r="J37" s="31"/>
      <c r="K37" s="33"/>
      <c r="L37" s="33"/>
      <c r="M37" s="33"/>
      <c r="N37" s="41"/>
      <c r="O37" s="29"/>
      <c r="P37" s="29"/>
      <c r="Q37" s="31"/>
      <c r="R37" s="33"/>
      <c r="S37" s="33"/>
      <c r="T37" s="33"/>
      <c r="U37" s="29"/>
      <c r="V37" s="34"/>
      <c r="W37" s="34"/>
      <c r="X37" s="34"/>
      <c r="Y37" s="34"/>
      <c r="Z37" s="29"/>
      <c r="AA37" s="29"/>
      <c r="AB37" s="53"/>
    </row>
    <row r="38" spans="1:28" ht="25.5" customHeight="1" x14ac:dyDescent="0.2">
      <c r="A38" s="52" t="s">
        <v>40</v>
      </c>
      <c r="B38" s="30" t="s">
        <v>43</v>
      </c>
      <c r="C38" s="29">
        <v>354</v>
      </c>
      <c r="D38" s="30" t="s">
        <v>11</v>
      </c>
      <c r="E38" s="29">
        <v>45</v>
      </c>
      <c r="F38" s="33">
        <v>51</v>
      </c>
      <c r="G38" s="29">
        <v>-1.3</v>
      </c>
      <c r="H38" s="31">
        <v>630000</v>
      </c>
      <c r="I38" s="29">
        <v>11</v>
      </c>
      <c r="J38" s="31">
        <v>474000</v>
      </c>
      <c r="K38" s="33">
        <v>28.8</v>
      </c>
      <c r="L38" s="33">
        <v>14.3</v>
      </c>
      <c r="M38" s="33">
        <v>2</v>
      </c>
      <c r="N38" s="41">
        <v>51</v>
      </c>
      <c r="O38" s="29">
        <v>-1.8</v>
      </c>
      <c r="P38" s="29">
        <v>11</v>
      </c>
      <c r="Q38" s="31">
        <v>456000</v>
      </c>
      <c r="R38" s="33">
        <v>28.8</v>
      </c>
      <c r="S38" s="76">
        <v>14</v>
      </c>
      <c r="T38" s="33">
        <v>2.1</v>
      </c>
      <c r="U38" s="72" t="s">
        <v>71</v>
      </c>
      <c r="V38" s="72"/>
      <c r="W38" s="72"/>
      <c r="X38" s="72"/>
      <c r="Y38" s="72"/>
      <c r="Z38" s="29" t="s">
        <v>65</v>
      </c>
      <c r="AA38" s="29"/>
      <c r="AB38" s="53"/>
    </row>
    <row r="39" spans="1:28" ht="12.75" hidden="1" customHeight="1" x14ac:dyDescent="0.2">
      <c r="A39" s="52"/>
      <c r="B39" s="30"/>
      <c r="C39" s="29"/>
      <c r="D39" s="30"/>
      <c r="E39" s="29"/>
      <c r="F39" s="33"/>
      <c r="G39" s="29"/>
      <c r="H39" s="31"/>
      <c r="I39" s="29"/>
      <c r="J39" s="31"/>
      <c r="K39" s="33"/>
      <c r="L39" s="33"/>
      <c r="M39" s="29"/>
      <c r="N39" s="41"/>
      <c r="O39" s="29"/>
      <c r="P39" s="29"/>
      <c r="Q39" s="31"/>
      <c r="R39" s="33"/>
      <c r="S39" s="76"/>
      <c r="T39" s="33"/>
      <c r="U39" s="29"/>
      <c r="V39" s="34"/>
      <c r="W39" s="34"/>
      <c r="X39" s="34"/>
      <c r="Y39" s="34"/>
      <c r="Z39" s="29"/>
      <c r="AA39" s="29"/>
      <c r="AB39" s="53"/>
    </row>
    <row r="40" spans="1:28" ht="25.5" customHeight="1" x14ac:dyDescent="0.2">
      <c r="A40" s="52" t="s">
        <v>70</v>
      </c>
      <c r="B40" s="30" t="s">
        <v>43</v>
      </c>
      <c r="C40" s="29">
        <v>354</v>
      </c>
      <c r="D40" s="30" t="s">
        <v>60</v>
      </c>
      <c r="E40" s="29">
        <v>81</v>
      </c>
      <c r="F40" s="33">
        <v>35.5</v>
      </c>
      <c r="G40" s="29">
        <v>3.4</v>
      </c>
      <c r="H40" s="31">
        <v>434000</v>
      </c>
      <c r="I40" s="29">
        <v>9</v>
      </c>
      <c r="J40" s="31">
        <v>533000</v>
      </c>
      <c r="K40" s="33">
        <v>14.4</v>
      </c>
      <c r="L40" s="33">
        <v>13.7</v>
      </c>
      <c r="M40" s="29">
        <v>1.1000000000000001</v>
      </c>
      <c r="N40" s="41">
        <v>33.700000000000003</v>
      </c>
      <c r="O40" s="29">
        <v>3.4</v>
      </c>
      <c r="P40" s="29">
        <v>9</v>
      </c>
      <c r="Q40" s="31">
        <v>490000</v>
      </c>
      <c r="R40" s="33">
        <v>14.4</v>
      </c>
      <c r="S40" s="76">
        <v>13.3</v>
      </c>
      <c r="T40" s="33">
        <v>1.1000000000000001</v>
      </c>
      <c r="U40" s="72" t="s">
        <v>72</v>
      </c>
      <c r="V40" s="72"/>
      <c r="W40" s="72"/>
      <c r="X40" s="72"/>
      <c r="Y40" s="72"/>
      <c r="Z40" s="29" t="s">
        <v>79</v>
      </c>
      <c r="AA40" s="29"/>
      <c r="AB40" s="53"/>
    </row>
    <row r="41" spans="1:28" ht="12.75" hidden="1" customHeight="1" x14ac:dyDescent="0.2">
      <c r="A41" s="52"/>
      <c r="B41" s="30"/>
      <c r="C41" s="29"/>
      <c r="D41" s="30"/>
      <c r="E41" s="29"/>
      <c r="F41" s="29"/>
      <c r="G41" s="29"/>
      <c r="H41" s="31"/>
      <c r="I41" s="29"/>
      <c r="J41" s="31"/>
      <c r="K41" s="33"/>
      <c r="L41" s="33"/>
      <c r="M41" s="29"/>
      <c r="N41" s="28"/>
      <c r="O41" s="32"/>
      <c r="P41" s="31"/>
      <c r="Q41" s="31"/>
      <c r="R41" s="33"/>
      <c r="S41" s="76"/>
      <c r="T41" s="33"/>
      <c r="U41" s="29"/>
      <c r="V41" s="34"/>
      <c r="W41" s="34"/>
      <c r="X41" s="34"/>
      <c r="Y41" s="34"/>
      <c r="Z41" s="29"/>
      <c r="AA41" s="29"/>
      <c r="AB41" s="53"/>
    </row>
    <row r="42" spans="1:28" ht="25.5" customHeight="1" x14ac:dyDescent="0.2">
      <c r="A42" s="52" t="s">
        <v>42</v>
      </c>
      <c r="B42" s="30" t="s">
        <v>38</v>
      </c>
      <c r="C42" s="29">
        <v>256</v>
      </c>
      <c r="D42" s="30" t="s">
        <v>11</v>
      </c>
      <c r="E42" s="29">
        <v>49</v>
      </c>
      <c r="F42" s="29">
        <v>37.299999999999997</v>
      </c>
      <c r="G42" s="29">
        <v>-1.5</v>
      </c>
      <c r="H42" s="31">
        <v>592000</v>
      </c>
      <c r="I42" s="29">
        <v>15</v>
      </c>
      <c r="J42" s="31">
        <v>137000</v>
      </c>
      <c r="K42" s="41">
        <v>27</v>
      </c>
      <c r="L42" s="41">
        <v>10.1</v>
      </c>
      <c r="M42" s="29">
        <v>2.7</v>
      </c>
      <c r="N42" s="28">
        <v>37.299999999999997</v>
      </c>
      <c r="O42" s="32">
        <v>-2.1</v>
      </c>
      <c r="P42" s="31">
        <v>15</v>
      </c>
      <c r="Q42" s="31">
        <v>120000</v>
      </c>
      <c r="R42" s="33">
        <v>27</v>
      </c>
      <c r="S42" s="76">
        <v>9.8000000000000007</v>
      </c>
      <c r="T42" s="33">
        <v>2.8</v>
      </c>
      <c r="U42" s="72" t="s">
        <v>14</v>
      </c>
      <c r="V42" s="72"/>
      <c r="W42" s="72"/>
      <c r="X42" s="72"/>
      <c r="Y42" s="72"/>
      <c r="Z42" s="29" t="s">
        <v>65</v>
      </c>
      <c r="AA42" s="29"/>
      <c r="AB42" s="53"/>
    </row>
    <row r="43" spans="1:28" ht="12.75" hidden="1" customHeight="1" x14ac:dyDescent="0.2">
      <c r="A43" s="52"/>
      <c r="B43" s="30"/>
      <c r="C43" s="29"/>
      <c r="D43" s="30"/>
      <c r="E43" s="29"/>
      <c r="F43" s="29"/>
      <c r="G43" s="29"/>
      <c r="H43" s="31"/>
      <c r="I43" s="29"/>
      <c r="J43" s="31"/>
      <c r="K43" s="41"/>
      <c r="L43" s="41"/>
      <c r="M43" s="29"/>
      <c r="N43" s="28"/>
      <c r="O43" s="32"/>
      <c r="P43" s="31"/>
      <c r="Q43" s="31"/>
      <c r="R43" s="33"/>
      <c r="S43" s="76"/>
      <c r="T43" s="33"/>
      <c r="U43" s="29"/>
      <c r="V43" s="34"/>
      <c r="W43" s="34"/>
      <c r="X43" s="34"/>
      <c r="Y43" s="34"/>
      <c r="Z43" s="29"/>
      <c r="AA43" s="29"/>
      <c r="AB43" s="53"/>
    </row>
    <row r="44" spans="1:28" ht="25.5" customHeight="1" x14ac:dyDescent="0.2">
      <c r="A44" s="55" t="s">
        <v>68</v>
      </c>
      <c r="B44" s="56" t="s">
        <v>38</v>
      </c>
      <c r="C44" s="57">
        <v>256</v>
      </c>
      <c r="D44" s="56" t="s">
        <v>60</v>
      </c>
      <c r="E44" s="57">
        <v>84</v>
      </c>
      <c r="F44" s="57">
        <v>21.2</v>
      </c>
      <c r="G44" s="57">
        <v>3.4</v>
      </c>
      <c r="H44" s="58">
        <v>396000</v>
      </c>
      <c r="I44" s="57">
        <v>13</v>
      </c>
      <c r="J44" s="58">
        <v>215000</v>
      </c>
      <c r="K44" s="69">
        <v>12.5</v>
      </c>
      <c r="L44" s="69">
        <v>9.5</v>
      </c>
      <c r="M44" s="57">
        <v>1.3</v>
      </c>
      <c r="N44" s="66">
        <v>19.2</v>
      </c>
      <c r="O44" s="62">
        <v>3.4</v>
      </c>
      <c r="P44" s="58">
        <v>14</v>
      </c>
      <c r="Q44" s="58">
        <v>169000</v>
      </c>
      <c r="R44" s="59">
        <v>12.5</v>
      </c>
      <c r="S44" s="77">
        <v>9</v>
      </c>
      <c r="T44" s="59">
        <v>1.4</v>
      </c>
      <c r="U44" s="73" t="s">
        <v>14</v>
      </c>
      <c r="V44" s="73"/>
      <c r="W44" s="73"/>
      <c r="X44" s="73"/>
      <c r="Y44" s="73"/>
      <c r="Z44" s="57" t="s">
        <v>79</v>
      </c>
      <c r="AA44" s="57"/>
      <c r="AB44" s="65"/>
    </row>
    <row r="46" spans="1:28" ht="13.2" thickBo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9" spans="1:20" ht="12.75" customHeight="1" x14ac:dyDescent="0.2">
      <c r="A49" s="45" t="s">
        <v>1</v>
      </c>
      <c r="B49" s="46" t="s">
        <v>2</v>
      </c>
      <c r="C49" s="46"/>
      <c r="D49" s="47" t="s">
        <v>4</v>
      </c>
      <c r="E49" s="47"/>
      <c r="F49" s="48" t="s">
        <v>7</v>
      </c>
      <c r="G49" s="48"/>
      <c r="H49" s="47" t="s">
        <v>8</v>
      </c>
      <c r="I49" s="49" t="s">
        <v>77</v>
      </c>
      <c r="J49" s="50" t="s">
        <v>78</v>
      </c>
      <c r="K49" s="48" t="s">
        <v>74</v>
      </c>
      <c r="L49" s="48" t="s">
        <v>75</v>
      </c>
      <c r="M49" s="48" t="s">
        <v>76</v>
      </c>
      <c r="N49" s="48" t="s">
        <v>12</v>
      </c>
      <c r="O49" s="48"/>
      <c r="P49" s="48"/>
      <c r="Q49" s="48"/>
      <c r="R49" s="48"/>
      <c r="S49" s="48"/>
      <c r="T49" s="51"/>
    </row>
    <row r="50" spans="1:20" x14ac:dyDescent="0.2">
      <c r="A50" s="52"/>
      <c r="B50" s="29"/>
      <c r="C50" s="30" t="s">
        <v>3</v>
      </c>
      <c r="D50" s="29"/>
      <c r="E50" s="42" t="s">
        <v>3</v>
      </c>
      <c r="F50" s="29" t="s">
        <v>5</v>
      </c>
      <c r="G50" s="30" t="s">
        <v>6</v>
      </c>
      <c r="H50" s="43" t="s">
        <v>9</v>
      </c>
      <c r="I50" s="126">
        <v>22</v>
      </c>
      <c r="J50" s="126"/>
      <c r="K50" s="126"/>
      <c r="L50" s="126"/>
      <c r="M50" s="126"/>
      <c r="N50" s="29"/>
      <c r="O50" s="29"/>
      <c r="P50" s="29"/>
      <c r="Q50" s="29"/>
      <c r="R50" s="29"/>
      <c r="S50" s="29"/>
      <c r="T50" s="53"/>
    </row>
    <row r="51" spans="1:20" ht="12.75" hidden="1" customHeight="1" x14ac:dyDescent="0.2">
      <c r="A51" s="52"/>
      <c r="B51" s="29"/>
      <c r="C51" s="30"/>
      <c r="D51" s="29"/>
      <c r="E51" s="30"/>
      <c r="F51" s="29"/>
      <c r="G51" s="30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53"/>
    </row>
    <row r="52" spans="1:20" ht="12.75" hidden="1" customHeight="1" x14ac:dyDescent="0.2">
      <c r="A52" s="52"/>
      <c r="B52" s="30"/>
      <c r="C52" s="29"/>
      <c r="D52" s="30"/>
      <c r="E52" s="29"/>
      <c r="F52" s="29"/>
      <c r="G52" s="29"/>
      <c r="H52" s="31"/>
      <c r="I52" s="29"/>
      <c r="J52" s="31"/>
      <c r="K52" s="33"/>
      <c r="L52" s="33"/>
      <c r="M52" s="33"/>
      <c r="N52" s="29"/>
      <c r="O52" s="34"/>
      <c r="P52" s="34"/>
      <c r="Q52" s="34"/>
      <c r="R52" s="29"/>
      <c r="S52" s="34"/>
      <c r="T52" s="54"/>
    </row>
    <row r="53" spans="1:20" ht="25.5" customHeight="1" x14ac:dyDescent="0.2">
      <c r="A53" s="52" t="s">
        <v>57</v>
      </c>
      <c r="B53" s="30" t="s">
        <v>32</v>
      </c>
      <c r="C53" s="29">
        <v>220</v>
      </c>
      <c r="D53" s="30" t="s">
        <v>60</v>
      </c>
      <c r="E53" s="29">
        <v>91</v>
      </c>
      <c r="F53" s="28">
        <v>51.4</v>
      </c>
      <c r="G53" s="29">
        <v>3.8</v>
      </c>
      <c r="H53" s="31">
        <v>1611000</v>
      </c>
      <c r="I53" s="29">
        <v>41</v>
      </c>
      <c r="J53" s="31">
        <v>-74000</v>
      </c>
      <c r="K53" s="33">
        <v>14.7</v>
      </c>
      <c r="L53" s="76">
        <v>14</v>
      </c>
      <c r="M53" s="33">
        <v>1</v>
      </c>
      <c r="N53" s="72" t="s">
        <v>14</v>
      </c>
      <c r="O53" s="72"/>
      <c r="P53" s="72"/>
      <c r="Q53" s="72"/>
      <c r="R53" s="29" t="s">
        <v>65</v>
      </c>
      <c r="S53" s="34"/>
      <c r="T53" s="54"/>
    </row>
    <row r="54" spans="1:20" ht="12.75" hidden="1" customHeight="1" x14ac:dyDescent="0.2">
      <c r="A54" s="52"/>
      <c r="B54" s="30"/>
      <c r="C54" s="29"/>
      <c r="D54" s="30"/>
      <c r="E54" s="29"/>
      <c r="F54" s="28"/>
      <c r="G54" s="29"/>
      <c r="H54" s="31"/>
      <c r="I54" s="29"/>
      <c r="J54" s="31"/>
      <c r="K54" s="33"/>
      <c r="L54" s="76"/>
      <c r="M54" s="29"/>
      <c r="N54" s="29"/>
      <c r="O54" s="34"/>
      <c r="P54" s="34"/>
      <c r="Q54" s="34"/>
      <c r="R54" s="29"/>
      <c r="S54" s="34"/>
      <c r="T54" s="54"/>
    </row>
    <row r="55" spans="1:20" ht="25.5" customHeight="1" x14ac:dyDescent="0.2">
      <c r="A55" s="55" t="s">
        <v>59</v>
      </c>
      <c r="B55" s="56" t="s">
        <v>32</v>
      </c>
      <c r="C55" s="57">
        <v>220</v>
      </c>
      <c r="D55" s="56" t="s">
        <v>10</v>
      </c>
      <c r="E55" s="57">
        <v>104</v>
      </c>
      <c r="F55" s="66">
        <v>45.1</v>
      </c>
      <c r="G55" s="57">
        <v>3.8</v>
      </c>
      <c r="H55" s="58">
        <v>809000</v>
      </c>
      <c r="I55" s="57">
        <v>23</v>
      </c>
      <c r="J55" s="58">
        <v>14000</v>
      </c>
      <c r="K55" s="59">
        <v>10.9</v>
      </c>
      <c r="L55" s="77">
        <v>12.6</v>
      </c>
      <c r="M55" s="57">
        <v>0.9</v>
      </c>
      <c r="N55" s="73" t="s">
        <v>66</v>
      </c>
      <c r="O55" s="73"/>
      <c r="P55" s="73"/>
      <c r="Q55" s="73"/>
      <c r="R55" s="57" t="s">
        <v>62</v>
      </c>
      <c r="S55" s="60"/>
      <c r="T55" s="61"/>
    </row>
    <row r="56" spans="1:20" x14ac:dyDescent="0.2">
      <c r="A56" s="29"/>
      <c r="B56" s="29"/>
      <c r="C56" s="29"/>
      <c r="D56" s="29"/>
      <c r="E56" s="29"/>
      <c r="F56" s="28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</row>
    <row r="57" spans="1:20" ht="12.75" customHeight="1" x14ac:dyDescent="0.2">
      <c r="A57" s="45" t="s">
        <v>1</v>
      </c>
      <c r="B57" s="46" t="s">
        <v>2</v>
      </c>
      <c r="C57" s="46"/>
      <c r="D57" s="47" t="s">
        <v>4</v>
      </c>
      <c r="E57" s="47"/>
      <c r="F57" s="80" t="s">
        <v>7</v>
      </c>
      <c r="G57" s="48"/>
      <c r="H57" s="47" t="s">
        <v>8</v>
      </c>
      <c r="I57" s="49" t="s">
        <v>77</v>
      </c>
      <c r="J57" s="50" t="s">
        <v>78</v>
      </c>
      <c r="K57" s="48" t="s">
        <v>74</v>
      </c>
      <c r="L57" s="48" t="s">
        <v>75</v>
      </c>
      <c r="M57" s="48" t="s">
        <v>76</v>
      </c>
      <c r="N57" s="48" t="s">
        <v>12</v>
      </c>
      <c r="O57" s="48"/>
      <c r="P57" s="48"/>
      <c r="Q57" s="48"/>
      <c r="R57" s="48"/>
      <c r="S57" s="48"/>
      <c r="T57" s="51"/>
    </row>
    <row r="58" spans="1:20" x14ac:dyDescent="0.2">
      <c r="A58" s="52"/>
      <c r="B58" s="29"/>
      <c r="C58" s="30" t="s">
        <v>3</v>
      </c>
      <c r="D58" s="29"/>
      <c r="E58" s="42" t="s">
        <v>3</v>
      </c>
      <c r="F58" s="28" t="s">
        <v>5</v>
      </c>
      <c r="G58" s="30" t="s">
        <v>6</v>
      </c>
      <c r="H58" s="43" t="s">
        <v>9</v>
      </c>
      <c r="I58" s="126">
        <v>22</v>
      </c>
      <c r="J58" s="126"/>
      <c r="K58" s="126"/>
      <c r="L58" s="126"/>
      <c r="M58" s="126"/>
      <c r="N58" s="29"/>
      <c r="O58" s="29"/>
      <c r="P58" s="29"/>
      <c r="Q58" s="29"/>
      <c r="R58" s="29"/>
      <c r="S58" s="29"/>
      <c r="T58" s="53"/>
    </row>
    <row r="59" spans="1:20" ht="12.75" hidden="1" customHeight="1" x14ac:dyDescent="0.2">
      <c r="A59" s="52"/>
      <c r="B59" s="29"/>
      <c r="C59" s="30"/>
      <c r="D59" s="29"/>
      <c r="E59" s="30"/>
      <c r="F59" s="28"/>
      <c r="G59" s="30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53"/>
    </row>
    <row r="60" spans="1:20" ht="12.75" hidden="1" customHeight="1" x14ac:dyDescent="0.2">
      <c r="A60" s="52"/>
      <c r="B60" s="30"/>
      <c r="C60" s="29"/>
      <c r="D60" s="30"/>
      <c r="E60" s="29"/>
      <c r="F60" s="28"/>
      <c r="G60" s="29"/>
      <c r="H60" s="31"/>
      <c r="I60" s="29"/>
      <c r="J60" s="31"/>
      <c r="K60" s="32"/>
      <c r="L60" s="32"/>
      <c r="M60" s="29"/>
      <c r="N60" s="29"/>
      <c r="O60" s="34"/>
      <c r="P60" s="34"/>
      <c r="Q60" s="34"/>
      <c r="R60" s="29"/>
      <c r="S60" s="34"/>
      <c r="T60" s="54"/>
    </row>
    <row r="61" spans="1:20" ht="25.5" customHeight="1" x14ac:dyDescent="0.2">
      <c r="A61" s="52" t="s">
        <v>34</v>
      </c>
      <c r="B61" s="30" t="s">
        <v>38</v>
      </c>
      <c r="C61" s="29">
        <v>281</v>
      </c>
      <c r="D61" s="30" t="s">
        <v>11</v>
      </c>
      <c r="E61" s="29">
        <v>78</v>
      </c>
      <c r="F61" s="28">
        <v>59.2</v>
      </c>
      <c r="G61" s="29">
        <v>2.1</v>
      </c>
      <c r="H61" s="31">
        <v>766000</v>
      </c>
      <c r="I61" s="29">
        <v>18</v>
      </c>
      <c r="J61" s="31">
        <v>255000</v>
      </c>
      <c r="K61" s="32">
        <v>10.3</v>
      </c>
      <c r="L61" s="78">
        <v>14.7</v>
      </c>
      <c r="M61" s="29">
        <v>0.7</v>
      </c>
      <c r="N61" s="72" t="s">
        <v>14</v>
      </c>
      <c r="O61" s="72"/>
      <c r="P61" s="72"/>
      <c r="Q61" s="72"/>
      <c r="R61" s="29" t="s">
        <v>65</v>
      </c>
      <c r="S61" s="34"/>
      <c r="T61" s="54"/>
    </row>
    <row r="62" spans="1:20" ht="12.75" hidden="1" customHeight="1" x14ac:dyDescent="0.2">
      <c r="A62" s="52"/>
      <c r="B62" s="30"/>
      <c r="C62" s="29"/>
      <c r="D62" s="30"/>
      <c r="E62" s="29"/>
      <c r="F62" s="28"/>
      <c r="G62" s="29"/>
      <c r="H62" s="31"/>
      <c r="I62" s="29"/>
      <c r="J62" s="31"/>
      <c r="K62" s="32"/>
      <c r="L62" s="78"/>
      <c r="M62" s="29"/>
      <c r="N62" s="29"/>
      <c r="O62" s="34"/>
      <c r="P62" s="34"/>
      <c r="Q62" s="34"/>
      <c r="R62" s="29"/>
      <c r="S62" s="34"/>
      <c r="T62" s="54"/>
    </row>
    <row r="63" spans="1:20" ht="25.5" customHeight="1" x14ac:dyDescent="0.2">
      <c r="A63" s="55" t="s">
        <v>36</v>
      </c>
      <c r="B63" s="56" t="s">
        <v>38</v>
      </c>
      <c r="C63" s="57">
        <v>281</v>
      </c>
      <c r="D63" s="56" t="s">
        <v>10</v>
      </c>
      <c r="E63" s="57">
        <v>106</v>
      </c>
      <c r="F63" s="66">
        <v>50.1</v>
      </c>
      <c r="G63" s="57">
        <v>2.1</v>
      </c>
      <c r="H63" s="58">
        <v>469000</v>
      </c>
      <c r="I63" s="57">
        <v>13</v>
      </c>
      <c r="J63" s="58">
        <v>286000</v>
      </c>
      <c r="K63" s="62">
        <v>5.8</v>
      </c>
      <c r="L63" s="79">
        <v>12.7</v>
      </c>
      <c r="M63" s="57">
        <v>0.5</v>
      </c>
      <c r="N63" s="73" t="s">
        <v>13</v>
      </c>
      <c r="O63" s="73"/>
      <c r="P63" s="73"/>
      <c r="Q63" s="73"/>
      <c r="R63" s="57" t="s">
        <v>73</v>
      </c>
      <c r="S63" s="60"/>
      <c r="T63" s="61"/>
    </row>
    <row r="64" spans="1:20" x14ac:dyDescent="0.2">
      <c r="A64" s="29"/>
      <c r="B64" s="29"/>
      <c r="C64" s="29"/>
      <c r="D64" s="29"/>
      <c r="E64" s="29"/>
      <c r="F64" s="28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</row>
    <row r="65" spans="1:20" x14ac:dyDescent="0.2">
      <c r="A65" s="45" t="s">
        <v>1</v>
      </c>
      <c r="B65" s="46" t="s">
        <v>2</v>
      </c>
      <c r="C65" s="46"/>
      <c r="D65" s="47" t="s">
        <v>4</v>
      </c>
      <c r="E65" s="47"/>
      <c r="F65" s="80" t="s">
        <v>7</v>
      </c>
      <c r="G65" s="48"/>
      <c r="H65" s="47" t="s">
        <v>8</v>
      </c>
      <c r="I65" s="49" t="s">
        <v>77</v>
      </c>
      <c r="J65" s="50" t="s">
        <v>78</v>
      </c>
      <c r="K65" s="48" t="s">
        <v>74</v>
      </c>
      <c r="L65" s="48" t="s">
        <v>75</v>
      </c>
      <c r="M65" s="48" t="s">
        <v>76</v>
      </c>
      <c r="N65" s="48" t="s">
        <v>12</v>
      </c>
      <c r="O65" s="48"/>
      <c r="P65" s="48"/>
      <c r="Q65" s="48"/>
      <c r="R65" s="48"/>
      <c r="S65" s="48"/>
      <c r="T65" s="51"/>
    </row>
    <row r="66" spans="1:20" x14ac:dyDescent="0.2">
      <c r="A66" s="52"/>
      <c r="B66" s="29"/>
      <c r="C66" s="30" t="s">
        <v>3</v>
      </c>
      <c r="D66" s="29"/>
      <c r="E66" s="42" t="s">
        <v>3</v>
      </c>
      <c r="F66" s="28" t="s">
        <v>5</v>
      </c>
      <c r="G66" s="30" t="s">
        <v>6</v>
      </c>
      <c r="H66" s="43" t="s">
        <v>9</v>
      </c>
      <c r="I66" s="126">
        <v>22</v>
      </c>
      <c r="J66" s="126"/>
      <c r="K66" s="126"/>
      <c r="L66" s="126"/>
      <c r="M66" s="126"/>
      <c r="N66" s="29"/>
      <c r="O66" s="29"/>
      <c r="P66" s="29"/>
      <c r="Q66" s="29"/>
      <c r="R66" s="29"/>
      <c r="S66" s="29"/>
      <c r="T66" s="53"/>
    </row>
    <row r="67" spans="1:20" ht="12.75" hidden="1" x14ac:dyDescent="0.2">
      <c r="A67" s="52"/>
      <c r="B67" s="29"/>
      <c r="C67" s="30"/>
      <c r="D67" s="29"/>
      <c r="E67" s="30"/>
      <c r="F67" s="28"/>
      <c r="G67" s="30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53"/>
    </row>
    <row r="68" spans="1:20" ht="12.75" hidden="1" customHeight="1" x14ac:dyDescent="0.2">
      <c r="A68" s="52"/>
      <c r="B68" s="30"/>
      <c r="C68" s="29"/>
      <c r="D68" s="30"/>
      <c r="E68" s="29"/>
      <c r="F68" s="28"/>
      <c r="G68" s="29"/>
      <c r="H68" s="31"/>
      <c r="I68" s="29"/>
      <c r="J68" s="31"/>
      <c r="K68" s="32"/>
      <c r="L68" s="32"/>
      <c r="M68" s="29"/>
      <c r="N68" s="29"/>
      <c r="O68" s="34"/>
      <c r="P68" s="34"/>
      <c r="Q68" s="34"/>
      <c r="R68" s="29"/>
      <c r="S68" s="34"/>
      <c r="T68" s="54"/>
    </row>
    <row r="69" spans="1:20" ht="25.5" customHeight="1" x14ac:dyDescent="0.2">
      <c r="A69" s="52" t="s">
        <v>45</v>
      </c>
      <c r="B69" s="30" t="s">
        <v>38</v>
      </c>
      <c r="C69" s="29">
        <v>220</v>
      </c>
      <c r="D69" s="30" t="s">
        <v>10</v>
      </c>
      <c r="E69" s="29">
        <v>120</v>
      </c>
      <c r="F69" s="28">
        <v>173.9</v>
      </c>
      <c r="G69" s="29">
        <v>14.5</v>
      </c>
      <c r="H69" s="31">
        <v>2945000</v>
      </c>
      <c r="I69" s="29">
        <v>21</v>
      </c>
      <c r="J69" s="31">
        <v>131000</v>
      </c>
      <c r="K69" s="32">
        <v>52</v>
      </c>
      <c r="L69" s="78">
        <v>48.5</v>
      </c>
      <c r="M69" s="29">
        <v>1.1000000000000001</v>
      </c>
      <c r="N69" s="72" t="s">
        <v>14</v>
      </c>
      <c r="O69" s="72"/>
      <c r="P69" s="72"/>
      <c r="Q69" s="72"/>
      <c r="R69" s="29" t="s">
        <v>65</v>
      </c>
      <c r="S69" s="34"/>
      <c r="T69" s="54"/>
    </row>
    <row r="70" spans="1:20" ht="12.75" hidden="1" customHeight="1" x14ac:dyDescent="0.2">
      <c r="A70" s="52"/>
      <c r="B70" s="30"/>
      <c r="C70" s="29"/>
      <c r="D70" s="30"/>
      <c r="E70" s="29"/>
      <c r="F70" s="28"/>
      <c r="G70" s="29"/>
      <c r="H70" s="31"/>
      <c r="I70" s="29"/>
      <c r="J70" s="31"/>
      <c r="K70" s="32"/>
      <c r="L70" s="78"/>
      <c r="M70" s="33"/>
      <c r="N70" s="29"/>
      <c r="O70" s="34"/>
      <c r="P70" s="34"/>
      <c r="Q70" s="34"/>
      <c r="R70" s="29"/>
      <c r="S70" s="34"/>
      <c r="T70" s="54"/>
    </row>
    <row r="71" spans="1:20" ht="25.5" customHeight="1" x14ac:dyDescent="0.2">
      <c r="A71" s="55" t="s">
        <v>48</v>
      </c>
      <c r="B71" s="56" t="s">
        <v>38</v>
      </c>
      <c r="C71" s="57">
        <v>220</v>
      </c>
      <c r="D71" s="56" t="s">
        <v>10</v>
      </c>
      <c r="E71" s="57">
        <v>128</v>
      </c>
      <c r="F71" s="66">
        <v>154.80000000000001</v>
      </c>
      <c r="G71" s="57">
        <v>14.5</v>
      </c>
      <c r="H71" s="58">
        <v>1617000</v>
      </c>
      <c r="I71" s="57">
        <v>13</v>
      </c>
      <c r="J71" s="58">
        <v>631000</v>
      </c>
      <c r="K71" s="62">
        <v>45</v>
      </c>
      <c r="L71" s="79">
        <v>44.2</v>
      </c>
      <c r="M71" s="59">
        <v>1</v>
      </c>
      <c r="N71" s="73" t="s">
        <v>46</v>
      </c>
      <c r="O71" s="73"/>
      <c r="P71" s="73"/>
      <c r="Q71" s="73"/>
      <c r="R71" s="57" t="s">
        <v>63</v>
      </c>
      <c r="S71" s="60"/>
      <c r="T71" s="61"/>
    </row>
    <row r="72" spans="1:20" x14ac:dyDescent="0.2">
      <c r="R72" s="34"/>
    </row>
  </sheetData>
  <sortState ref="A53:N55">
    <sortCondition descending="1" ref="L53"/>
  </sortState>
  <mergeCells count="17">
    <mergeCell ref="B3:C3"/>
    <mergeCell ref="D3:E3"/>
    <mergeCell ref="I4:M4"/>
    <mergeCell ref="P4:T4"/>
    <mergeCell ref="B13:C13"/>
    <mergeCell ref="D13:E13"/>
    <mergeCell ref="I14:M14"/>
    <mergeCell ref="P14:T14"/>
    <mergeCell ref="B26:C26"/>
    <mergeCell ref="D26:E26"/>
    <mergeCell ref="I27:M27"/>
    <mergeCell ref="P27:T27"/>
    <mergeCell ref="I35:M35"/>
    <mergeCell ref="P35:T35"/>
    <mergeCell ref="I50:M50"/>
    <mergeCell ref="I58:M58"/>
    <mergeCell ref="I66:M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Anlægsudgift</vt:lpstr>
      <vt:lpstr>Varmebesparelse</vt:lpstr>
      <vt:lpstr>Nutidsværdi</vt:lpstr>
      <vt:lpstr>Nutidsværdi (2)</vt:lpstr>
      <vt:lpstr>Varmebesparelse (2)</vt:lpstr>
      <vt:lpstr>GWP etablering</vt:lpstr>
      <vt:lpstr>GWP drift</vt:lpstr>
      <vt:lpstr>GWP TBT</vt:lpstr>
      <vt:lpstr>GWP drift (2)</vt:lpstr>
      <vt:lpstr>Ark1</vt:lpstr>
    </vt:vector>
  </TitlesOfParts>
  <Company>Teknologisk Institut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Grimmig</dc:creator>
  <cp:lastModifiedBy>Mikael Grimmig</cp:lastModifiedBy>
  <dcterms:created xsi:type="dcterms:W3CDTF">2015-11-05T12:44:36Z</dcterms:created>
  <dcterms:modified xsi:type="dcterms:W3CDTF">2015-12-21T12:05:38Z</dcterms:modified>
</cp:coreProperties>
</file>