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Dokumenter\ELFOR\PSO_2014\Solceller\Minutfiler pr. måned\Månedsfiler\"/>
    </mc:Choice>
  </mc:AlternateContent>
  <bookViews>
    <workbookView xWindow="0" yWindow="0" windowWidth="19200" windowHeight="7770"/>
  </bookViews>
  <sheets>
    <sheet name="Inddata" sheetId="14" r:id="rId1"/>
    <sheet name="Året" sheetId="13" state="hidden" r:id="rId2"/>
    <sheet name="Året_elsalg_elv" sheetId="15" state="hidden" r:id="rId3"/>
    <sheet name="Beregn_elkøb_elv" sheetId="16" state="hidden" r:id="rId4"/>
    <sheet name="Året_elkøb_elv_2" sheetId="21" state="hidden" r:id="rId5"/>
    <sheet name="Beregn_elsalg" sheetId="20" state="hidden" r:id="rId6"/>
    <sheet name="Beregn_2" sheetId="17" state="hidden" r:id="rId7"/>
    <sheet name="Diagram1" sheetId="19" state="hidden" r:id="rId8"/>
    <sheet name="Diagram2" sheetId="18" state="hidden" r:id="rId9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F5" i="14" l="1"/>
  <c r="AF9" i="14" l="1"/>
  <c r="AF17" i="14"/>
  <c r="C11" i="14" l="1"/>
  <c r="BF24" i="21" l="1" a="1"/>
  <c r="BG28" i="21" s="1"/>
  <c r="BD28" i="21"/>
  <c r="BD27" i="21"/>
  <c r="BD26" i="21"/>
  <c r="BD25" i="21"/>
  <c r="BD24" i="21"/>
  <c r="BD24" i="21" a="1"/>
  <c r="BE28" i="21" s="1"/>
  <c r="BB24" i="21" a="1"/>
  <c r="BC28" i="21" s="1"/>
  <c r="AZ24" i="21" a="1"/>
  <c r="AZ28" i="21" s="1"/>
  <c r="AX24" i="21" a="1"/>
  <c r="AY28" i="21" s="1"/>
  <c r="AV24" i="21" a="1"/>
  <c r="AV28" i="21" s="1"/>
  <c r="AT24" i="21" a="1"/>
  <c r="AU28" i="21" s="1"/>
  <c r="AR24" i="21" a="1"/>
  <c r="AR28" i="21" s="1"/>
  <c r="AP24" i="21" a="1"/>
  <c r="AQ28" i="21" s="1"/>
  <c r="AN24" i="21" a="1"/>
  <c r="AN28" i="21" s="1"/>
  <c r="AL25" i="21"/>
  <c r="AL24" i="21"/>
  <c r="AL24" i="21" a="1"/>
  <c r="AM28" i="21" s="1"/>
  <c r="AJ24" i="21" a="1"/>
  <c r="AJ28" i="21" s="1"/>
  <c r="BF18" i="21"/>
  <c r="BF17" i="21"/>
  <c r="BF16" i="21"/>
  <c r="BF15" i="21"/>
  <c r="BF14" i="21"/>
  <c r="BF14" i="21" a="1"/>
  <c r="BG18" i="21" s="1"/>
  <c r="BD14" i="21" a="1"/>
  <c r="BD18" i="21" s="1"/>
  <c r="BB18" i="21"/>
  <c r="BB17" i="21"/>
  <c r="BB16" i="21"/>
  <c r="BB15" i="21"/>
  <c r="BB14" i="21"/>
  <c r="BB14" i="21" a="1"/>
  <c r="BC18" i="21" s="1"/>
  <c r="AZ14" i="21" a="1"/>
  <c r="AZ18" i="21" s="1"/>
  <c r="AX18" i="21"/>
  <c r="AX17" i="21"/>
  <c r="AX16" i="21"/>
  <c r="AX15" i="21"/>
  <c r="AX14" i="21"/>
  <c r="AX14" i="21" a="1"/>
  <c r="AY18" i="21" s="1"/>
  <c r="AV14" i="21" a="1"/>
  <c r="AV18" i="21" s="1"/>
  <c r="AT18" i="21"/>
  <c r="AT17" i="21"/>
  <c r="AT16" i="21"/>
  <c r="AT15" i="21"/>
  <c r="AT14" i="21"/>
  <c r="AT14" i="21" a="1"/>
  <c r="AU18" i="21" s="1"/>
  <c r="AR14" i="21" a="1"/>
  <c r="AR18" i="21" s="1"/>
  <c r="AP18" i="21"/>
  <c r="AP17" i="21"/>
  <c r="AP16" i="21"/>
  <c r="AP15" i="21"/>
  <c r="AP14" i="21"/>
  <c r="AP14" i="21" a="1"/>
  <c r="AQ18" i="21" s="1"/>
  <c r="AN14" i="21" a="1"/>
  <c r="AL18" i="21"/>
  <c r="AL17" i="21"/>
  <c r="AL16" i="21"/>
  <c r="AL15" i="21"/>
  <c r="AL14" i="21"/>
  <c r="AL14" i="21" a="1"/>
  <c r="AM18" i="21" s="1"/>
  <c r="AK18" i="21"/>
  <c r="AK16" i="21"/>
  <c r="AK14" i="21"/>
  <c r="AJ14" i="21" a="1"/>
  <c r="BF4" i="21" a="1"/>
  <c r="BF4" i="21"/>
  <c r="BG4" i="21"/>
  <c r="BF5" i="21"/>
  <c r="BG5" i="21"/>
  <c r="BF6" i="21"/>
  <c r="BG6" i="21"/>
  <c r="BF7" i="21"/>
  <c r="BG7" i="21"/>
  <c r="BF8" i="21"/>
  <c r="BG8" i="21"/>
  <c r="BD4" i="21" a="1"/>
  <c r="BD4" i="21"/>
  <c r="BE4" i="21"/>
  <c r="BD5" i="21"/>
  <c r="BE5" i="21"/>
  <c r="BD6" i="21"/>
  <c r="BE6" i="21"/>
  <c r="BD7" i="21"/>
  <c r="BE7" i="21"/>
  <c r="BD8" i="21"/>
  <c r="BE8" i="21"/>
  <c r="BB4" i="21" a="1"/>
  <c r="BB4" i="21"/>
  <c r="BC4" i="21"/>
  <c r="BB5" i="21"/>
  <c r="BC5" i="21"/>
  <c r="BB6" i="21"/>
  <c r="BC6" i="21"/>
  <c r="BB7" i="21"/>
  <c r="BC7" i="21"/>
  <c r="BB8" i="21"/>
  <c r="BC8" i="21"/>
  <c r="AZ4" i="21" a="1"/>
  <c r="AZ4" i="21"/>
  <c r="BA4" i="21"/>
  <c r="AZ5" i="21"/>
  <c r="BA5" i="21"/>
  <c r="AZ6" i="21"/>
  <c r="BA6" i="21"/>
  <c r="AZ7" i="21"/>
  <c r="BA7" i="21"/>
  <c r="AZ8" i="21"/>
  <c r="BA8" i="21"/>
  <c r="AX4" i="21" a="1"/>
  <c r="AX4" i="21"/>
  <c r="AY4" i="21"/>
  <c r="AX5" i="21"/>
  <c r="AY5" i="21"/>
  <c r="AX6" i="21"/>
  <c r="AY6" i="21"/>
  <c r="AX7" i="21"/>
  <c r="AY7" i="21"/>
  <c r="AX8" i="21"/>
  <c r="AY8" i="21"/>
  <c r="AV4" i="21" a="1"/>
  <c r="AV4" i="21"/>
  <c r="AW4" i="21"/>
  <c r="AV5" i="21"/>
  <c r="AW5" i="21"/>
  <c r="AV6" i="21"/>
  <c r="AW6" i="21"/>
  <c r="AV7" i="21"/>
  <c r="AW7" i="21"/>
  <c r="AV8" i="21"/>
  <c r="AW8" i="21"/>
  <c r="AT4" i="21" a="1"/>
  <c r="AT4" i="21"/>
  <c r="AU4" i="21"/>
  <c r="AT5" i="21"/>
  <c r="AU5" i="21"/>
  <c r="AT6" i="21"/>
  <c r="AU6" i="21"/>
  <c r="AT7" i="21"/>
  <c r="AU7" i="21"/>
  <c r="AT8" i="21"/>
  <c r="AU8" i="21"/>
  <c r="AR4" i="21" a="1"/>
  <c r="AR4" i="21" s="1"/>
  <c r="AP4" i="21" a="1"/>
  <c r="AP4" i="21"/>
  <c r="AQ4" i="21"/>
  <c r="AP5" i="21"/>
  <c r="AQ5" i="21"/>
  <c r="AP6" i="21"/>
  <c r="AQ6" i="21"/>
  <c r="AP7" i="21"/>
  <c r="AQ7" i="21"/>
  <c r="AP8" i="21"/>
  <c r="AQ8" i="21"/>
  <c r="AN4" i="21" a="1"/>
  <c r="AN4" i="21"/>
  <c r="AO4" i="21"/>
  <c r="AN5" i="21"/>
  <c r="AO5" i="21"/>
  <c r="AN6" i="21"/>
  <c r="AO6" i="21"/>
  <c r="AN7" i="21"/>
  <c r="AO7" i="21"/>
  <c r="AN8" i="21"/>
  <c r="AO8" i="21"/>
  <c r="AL4" i="21" a="1"/>
  <c r="AL4" i="21"/>
  <c r="AM4" i="21"/>
  <c r="AL5" i="21"/>
  <c r="AM5" i="21"/>
  <c r="AL6" i="21"/>
  <c r="AM6" i="21"/>
  <c r="AL7" i="21"/>
  <c r="AM7" i="21"/>
  <c r="AL8" i="21"/>
  <c r="AM8" i="21"/>
  <c r="AJ4" i="21" a="1"/>
  <c r="AJ4" i="21"/>
  <c r="AK4" i="21"/>
  <c r="AJ5" i="21"/>
  <c r="AK5" i="21"/>
  <c r="AJ6" i="21"/>
  <c r="AK6" i="21"/>
  <c r="AJ7" i="21"/>
  <c r="AK7" i="21"/>
  <c r="AJ8" i="21"/>
  <c r="AK8" i="21"/>
  <c r="AK24" i="21" l="1"/>
  <c r="AK25" i="21"/>
  <c r="AK26" i="21"/>
  <c r="AK27" i="21"/>
  <c r="AK28" i="21"/>
  <c r="AL26" i="21"/>
  <c r="AL27" i="21"/>
  <c r="AL28" i="21"/>
  <c r="AO24" i="21"/>
  <c r="AO25" i="21"/>
  <c r="AO26" i="21"/>
  <c r="AO27" i="21"/>
  <c r="AO28" i="21"/>
  <c r="AP24" i="21"/>
  <c r="AP25" i="21"/>
  <c r="AP26" i="21"/>
  <c r="AP27" i="21"/>
  <c r="AP28" i="21"/>
  <c r="AS24" i="21"/>
  <c r="AS25" i="21"/>
  <c r="AS26" i="21"/>
  <c r="AS27" i="21"/>
  <c r="AS28" i="21"/>
  <c r="AT24" i="21"/>
  <c r="AT25" i="21"/>
  <c r="AT26" i="21"/>
  <c r="AT27" i="21"/>
  <c r="AT28" i="21"/>
  <c r="AW24" i="21"/>
  <c r="AW25" i="21"/>
  <c r="AW26" i="21"/>
  <c r="AW27" i="21"/>
  <c r="AW28" i="21"/>
  <c r="AX24" i="21"/>
  <c r="AX25" i="21"/>
  <c r="AX26" i="21"/>
  <c r="AX27" i="21"/>
  <c r="AX28" i="21"/>
  <c r="BA24" i="21"/>
  <c r="BA25" i="21"/>
  <c r="BA26" i="21"/>
  <c r="BA27" i="21"/>
  <c r="BA28" i="21"/>
  <c r="BB24" i="21"/>
  <c r="BB25" i="21"/>
  <c r="BB26" i="21"/>
  <c r="BB27" i="21"/>
  <c r="BB28" i="21"/>
  <c r="BE24" i="21"/>
  <c r="BE25" i="21"/>
  <c r="BE26" i="21"/>
  <c r="BE27" i="21"/>
  <c r="BF24" i="21"/>
  <c r="BV26" i="21" s="1"/>
  <c r="BF25" i="21"/>
  <c r="BF26" i="21"/>
  <c r="BF27" i="21"/>
  <c r="BF28" i="21"/>
  <c r="AJ24" i="21"/>
  <c r="AJ25" i="21"/>
  <c r="AJ26" i="21"/>
  <c r="AJ27" i="21"/>
  <c r="AM24" i="21"/>
  <c r="AM25" i="21"/>
  <c r="AM26" i="21"/>
  <c r="AM27" i="21"/>
  <c r="AN24" i="21"/>
  <c r="AN25" i="21"/>
  <c r="AN26" i="21"/>
  <c r="AN27" i="21"/>
  <c r="AQ24" i="21"/>
  <c r="AQ25" i="21"/>
  <c r="AQ26" i="21"/>
  <c r="AQ27" i="21"/>
  <c r="AR24" i="21"/>
  <c r="AR25" i="21"/>
  <c r="AR26" i="21"/>
  <c r="AR27" i="21"/>
  <c r="AU24" i="21"/>
  <c r="AU25" i="21"/>
  <c r="AU26" i="21"/>
  <c r="AU27" i="21"/>
  <c r="AV24" i="21"/>
  <c r="AV25" i="21"/>
  <c r="AV26" i="21"/>
  <c r="AV27" i="21"/>
  <c r="AY24" i="21"/>
  <c r="AY25" i="21"/>
  <c r="AY26" i="21"/>
  <c r="AY27" i="21"/>
  <c r="AZ24" i="21"/>
  <c r="AZ25" i="21"/>
  <c r="AZ26" i="21"/>
  <c r="AZ27" i="21"/>
  <c r="BC24" i="21"/>
  <c r="BC25" i="21"/>
  <c r="BC26" i="21"/>
  <c r="BC27" i="21"/>
  <c r="BG24" i="21"/>
  <c r="BG25" i="21"/>
  <c r="BG26" i="21"/>
  <c r="BG27" i="21"/>
  <c r="AJ18" i="21"/>
  <c r="AJ17" i="21"/>
  <c r="AJ16" i="21"/>
  <c r="AJ15" i="21"/>
  <c r="AJ14" i="21"/>
  <c r="AK15" i="21"/>
  <c r="AK17" i="21"/>
  <c r="AN18" i="21"/>
  <c r="AN17" i="21"/>
  <c r="AN16" i="21"/>
  <c r="AN15" i="21"/>
  <c r="AN14" i="21"/>
  <c r="AO18" i="21"/>
  <c r="AO17" i="21"/>
  <c r="AO16" i="21"/>
  <c r="AO15" i="21"/>
  <c r="AO14" i="21"/>
  <c r="AS14" i="21"/>
  <c r="AS15" i="21"/>
  <c r="AS16" i="21"/>
  <c r="AS17" i="21"/>
  <c r="AS18" i="21"/>
  <c r="AW14" i="21"/>
  <c r="AW15" i="21"/>
  <c r="AW16" i="21"/>
  <c r="AW17" i="21"/>
  <c r="AW18" i="21"/>
  <c r="BA14" i="21"/>
  <c r="BA15" i="21"/>
  <c r="BA16" i="21"/>
  <c r="BA17" i="21"/>
  <c r="BA18" i="21"/>
  <c r="BE14" i="21"/>
  <c r="BE15" i="21"/>
  <c r="BE16" i="21"/>
  <c r="BE17" i="21"/>
  <c r="BE18" i="21"/>
  <c r="AM14" i="21"/>
  <c r="AM15" i="21"/>
  <c r="AM16" i="21"/>
  <c r="AM17" i="21"/>
  <c r="AQ14" i="21"/>
  <c r="AQ15" i="21"/>
  <c r="AQ16" i="21"/>
  <c r="AQ17" i="21"/>
  <c r="AR14" i="21"/>
  <c r="AR15" i="21"/>
  <c r="AR16" i="21"/>
  <c r="AR17" i="21"/>
  <c r="AU14" i="21"/>
  <c r="AU15" i="21"/>
  <c r="AU16" i="21"/>
  <c r="AU17" i="21"/>
  <c r="AV14" i="21"/>
  <c r="AV15" i="21"/>
  <c r="AV16" i="21"/>
  <c r="AV17" i="21"/>
  <c r="AY14" i="21"/>
  <c r="AY15" i="21"/>
  <c r="AY16" i="21"/>
  <c r="AY17" i="21"/>
  <c r="AZ14" i="21"/>
  <c r="AZ15" i="21"/>
  <c r="AZ16" i="21"/>
  <c r="AZ17" i="21"/>
  <c r="BC14" i="21"/>
  <c r="BC15" i="21"/>
  <c r="BC16" i="21"/>
  <c r="BC17" i="21"/>
  <c r="BD14" i="21"/>
  <c r="BD15" i="21"/>
  <c r="BD16" i="21"/>
  <c r="BD17" i="21"/>
  <c r="BG14" i="21"/>
  <c r="BG15" i="21"/>
  <c r="BG16" i="21"/>
  <c r="BG17" i="21"/>
  <c r="AS8" i="21"/>
  <c r="AS7" i="21"/>
  <c r="AS6" i="21"/>
  <c r="AS5" i="21"/>
  <c r="AS4" i="21"/>
  <c r="AR8" i="21"/>
  <c r="AR7" i="21"/>
  <c r="AR6" i="21"/>
  <c r="AR5" i="21"/>
  <c r="BV24" i="21"/>
  <c r="BR25" i="21"/>
  <c r="BS24" i="21"/>
  <c r="BN26" i="21"/>
  <c r="BO25" i="21"/>
  <c r="BN24" i="21"/>
  <c r="BK26" i="21"/>
  <c r="BJ25" i="21"/>
  <c r="BK24" i="21"/>
  <c r="CQ22" i="21"/>
  <c r="CQ25" i="21" s="1"/>
  <c r="BR15" i="21"/>
  <c r="BV16" i="21"/>
  <c r="BV14" i="21"/>
  <c r="BN16" i="21"/>
  <c r="BN14" i="21"/>
  <c r="BJ15" i="21"/>
  <c r="CQ12" i="21"/>
  <c r="BJ5" i="21"/>
  <c r="BV6" i="21"/>
  <c r="BV4" i="21"/>
  <c r="BR5" i="21"/>
  <c r="BN6" i="21"/>
  <c r="BN4" i="21"/>
  <c r="CQ2" i="21"/>
  <c r="CQ5" i="21" s="1"/>
  <c r="CR5" i="21" l="1"/>
  <c r="CT5" i="21" s="1"/>
  <c r="CR25" i="21"/>
  <c r="CT25" i="21" s="1"/>
  <c r="BJ4" i="21"/>
  <c r="BZ4" i="21" s="1" a="1"/>
  <c r="BJ6" i="21"/>
  <c r="BN5" i="21"/>
  <c r="CD4" i="21" s="1" a="1"/>
  <c r="BR4" i="21"/>
  <c r="BR6" i="21"/>
  <c r="BV5" i="21"/>
  <c r="CL4" i="21" s="1" a="1"/>
  <c r="BJ14" i="21"/>
  <c r="BK14" i="21"/>
  <c r="BN15" i="21"/>
  <c r="BO15" i="21"/>
  <c r="BR16" i="21"/>
  <c r="BS16" i="21"/>
  <c r="BK4" i="21"/>
  <c r="BK6" i="21"/>
  <c r="BO5" i="21"/>
  <c r="BS4" i="21"/>
  <c r="BS6" i="21"/>
  <c r="BW5" i="21"/>
  <c r="BJ16" i="21"/>
  <c r="BK16" i="21"/>
  <c r="CD14" i="21" a="1"/>
  <c r="BR14" i="21"/>
  <c r="BS14" i="21"/>
  <c r="BV15" i="21"/>
  <c r="CL14" i="21" s="1" a="1"/>
  <c r="BW15" i="21"/>
  <c r="BR26" i="21"/>
  <c r="BS26" i="21"/>
  <c r="BK5" i="21"/>
  <c r="BO4" i="21"/>
  <c r="BO6" i="21"/>
  <c r="BS5" i="21"/>
  <c r="BW4" i="21"/>
  <c r="BW6" i="21"/>
  <c r="CL24" i="21" a="1"/>
  <c r="BK15" i="21"/>
  <c r="BO14" i="21"/>
  <c r="BO16" i="21"/>
  <c r="BS15" i="21"/>
  <c r="BW14" i="21"/>
  <c r="BW16" i="21"/>
  <c r="BJ24" i="21"/>
  <c r="BJ26" i="21"/>
  <c r="BN25" i="21"/>
  <c r="CD24" i="21" s="1" a="1"/>
  <c r="BR24" i="21"/>
  <c r="CH24" i="21" s="1" a="1"/>
  <c r="BV25" i="21"/>
  <c r="BW25" i="21"/>
  <c r="BK25" i="21"/>
  <c r="CB24" i="21" s="1" a="1"/>
  <c r="BO24" i="21"/>
  <c r="BO26" i="21"/>
  <c r="BS25" i="21"/>
  <c r="CJ24" i="21" s="1" a="1"/>
  <c r="BW24" i="21"/>
  <c r="BW26" i="21"/>
  <c r="H113" i="16"/>
  <c r="H73" i="16"/>
  <c r="H33" i="16"/>
  <c r="H122" i="16" l="1"/>
  <c r="BZ24" i="21" a="1"/>
  <c r="BZ28" i="21" s="1"/>
  <c r="BZ14" i="21" a="1"/>
  <c r="CH14" i="21" a="1"/>
  <c r="CH18" i="21" s="1"/>
  <c r="CD8" i="21"/>
  <c r="CD7" i="21"/>
  <c r="CD6" i="21"/>
  <c r="CD5" i="21"/>
  <c r="CD4" i="21"/>
  <c r="CE7" i="21"/>
  <c r="CE5" i="21"/>
  <c r="CE8" i="21"/>
  <c r="CE6" i="21"/>
  <c r="CE4" i="21"/>
  <c r="CK28" i="21"/>
  <c r="CK27" i="21"/>
  <c r="CK26" i="21"/>
  <c r="CK25" i="21"/>
  <c r="CK24" i="21"/>
  <c r="CJ27" i="21"/>
  <c r="CJ25" i="21"/>
  <c r="CJ26" i="21"/>
  <c r="CJ28" i="21"/>
  <c r="CJ24" i="21"/>
  <c r="CC28" i="21"/>
  <c r="CC27" i="21"/>
  <c r="CC26" i="21"/>
  <c r="CC25" i="21"/>
  <c r="CC24" i="21"/>
  <c r="CB27" i="21"/>
  <c r="CB25" i="21"/>
  <c r="CB28" i="21"/>
  <c r="CB24" i="21"/>
  <c r="CR24" i="21" s="1"/>
  <c r="CB26" i="21"/>
  <c r="CD28" i="21"/>
  <c r="CD27" i="21"/>
  <c r="CD26" i="21"/>
  <c r="CD25" i="21"/>
  <c r="CD24" i="21"/>
  <c r="CE27" i="21"/>
  <c r="CE25" i="21"/>
  <c r="CE26" i="21"/>
  <c r="CE28" i="21"/>
  <c r="CE24" i="21"/>
  <c r="CL18" i="21"/>
  <c r="CL17" i="21"/>
  <c r="CL16" i="21"/>
  <c r="CL15" i="21"/>
  <c r="CL14" i="21"/>
  <c r="CM17" i="21"/>
  <c r="CM15" i="21"/>
  <c r="CM18" i="21"/>
  <c r="CM14" i="21"/>
  <c r="CM16" i="21"/>
  <c r="CM8" i="21"/>
  <c r="CM7" i="21"/>
  <c r="CM6" i="21"/>
  <c r="CM5" i="21"/>
  <c r="CM4" i="21"/>
  <c r="CL7" i="21"/>
  <c r="CL5" i="21"/>
  <c r="CL6" i="21"/>
  <c r="CL8" i="21"/>
  <c r="CL4" i="21"/>
  <c r="CH28" i="21"/>
  <c r="CH27" i="21"/>
  <c r="CH26" i="21"/>
  <c r="CH25" i="21"/>
  <c r="CH24" i="21"/>
  <c r="CI28" i="21"/>
  <c r="CI26" i="21"/>
  <c r="CI24" i="21"/>
  <c r="CI27" i="21"/>
  <c r="CI25" i="21"/>
  <c r="BZ27" i="21"/>
  <c r="BZ25" i="21"/>
  <c r="CA28" i="21"/>
  <c r="CA24" i="21"/>
  <c r="CA27" i="21"/>
  <c r="CL28" i="21"/>
  <c r="CL27" i="21"/>
  <c r="CL26" i="21"/>
  <c r="CL25" i="21"/>
  <c r="CL24" i="21"/>
  <c r="CM27" i="21"/>
  <c r="CM25" i="21"/>
  <c r="CM28" i="21"/>
  <c r="CM24" i="21"/>
  <c r="CM26" i="21"/>
  <c r="CN4" i="21" a="1"/>
  <c r="CF4" i="21" a="1"/>
  <c r="CH17" i="21"/>
  <c r="CH15" i="21"/>
  <c r="CI18" i="21"/>
  <c r="CI14" i="21"/>
  <c r="CI15" i="21"/>
  <c r="CD18" i="21"/>
  <c r="CD17" i="21"/>
  <c r="CD16" i="21"/>
  <c r="CD15" i="21"/>
  <c r="CD14" i="21"/>
  <c r="CE17" i="21"/>
  <c r="CE15" i="21"/>
  <c r="CE16" i="21"/>
  <c r="CE18" i="21"/>
  <c r="CE14" i="21"/>
  <c r="CB4" i="21" a="1"/>
  <c r="BZ18" i="21"/>
  <c r="BZ17" i="21"/>
  <c r="BZ16" i="21"/>
  <c r="BZ15" i="21"/>
  <c r="BZ14" i="21"/>
  <c r="CQ14" i="21" s="1"/>
  <c r="CA18" i="21"/>
  <c r="CA16" i="21"/>
  <c r="CA14" i="21"/>
  <c r="CA15" i="21"/>
  <c r="CA17" i="21"/>
  <c r="BZ8" i="21"/>
  <c r="BZ7" i="21"/>
  <c r="BZ6" i="21"/>
  <c r="BZ5" i="21"/>
  <c r="BZ4" i="21"/>
  <c r="CA8" i="21"/>
  <c r="CA6" i="21"/>
  <c r="CA4" i="21"/>
  <c r="CA7" i="21"/>
  <c r="CA5" i="21"/>
  <c r="CN24" i="21" a="1"/>
  <c r="CF24" i="21" a="1"/>
  <c r="CN14" i="21" a="1"/>
  <c r="CF14" i="21" a="1"/>
  <c r="CJ14" i="21" a="1"/>
  <c r="CJ4" i="21" a="1"/>
  <c r="CB14" i="21" a="1"/>
  <c r="CH4" i="21" a="1"/>
  <c r="AA13" i="14"/>
  <c r="Z13" i="14"/>
  <c r="H114" i="16" l="1"/>
  <c r="H74" i="16"/>
  <c r="H34" i="16"/>
  <c r="CA25" i="21"/>
  <c r="CA26" i="21"/>
  <c r="BZ24" i="21"/>
  <c r="BZ26" i="21"/>
  <c r="CI17" i="21"/>
  <c r="CI16" i="21"/>
  <c r="CH14" i="21"/>
  <c r="CH16" i="21"/>
  <c r="CQ4" i="21"/>
  <c r="CC18" i="21"/>
  <c r="CC17" i="21"/>
  <c r="CC16" i="21"/>
  <c r="CC15" i="21"/>
  <c r="CC14" i="21"/>
  <c r="CB17" i="21"/>
  <c r="CB15" i="21"/>
  <c r="CB18" i="21"/>
  <c r="CB14" i="21"/>
  <c r="CR14" i="21" s="1"/>
  <c r="CT14" i="21" s="1"/>
  <c r="CB16" i="21"/>
  <c r="CK18" i="21"/>
  <c r="CK17" i="21"/>
  <c r="CK16" i="21"/>
  <c r="CK15" i="21"/>
  <c r="CK14" i="21"/>
  <c r="CJ17" i="21"/>
  <c r="CJ15" i="21"/>
  <c r="CJ16" i="21"/>
  <c r="CJ18" i="21"/>
  <c r="CJ14" i="21"/>
  <c r="CN18" i="21"/>
  <c r="CN17" i="21"/>
  <c r="CN16" i="21"/>
  <c r="CO17" i="21"/>
  <c r="CO15" i="21"/>
  <c r="CO14" i="21"/>
  <c r="CO16" i="21"/>
  <c r="CN14" i="21"/>
  <c r="CO18" i="21"/>
  <c r="CN15" i="21"/>
  <c r="CO28" i="21"/>
  <c r="CO27" i="21"/>
  <c r="CO26" i="21"/>
  <c r="CO25" i="21"/>
  <c r="CO24" i="21"/>
  <c r="CN28" i="21"/>
  <c r="CN26" i="21"/>
  <c r="CN24" i="21"/>
  <c r="CN27" i="21"/>
  <c r="CN25" i="21"/>
  <c r="CG8" i="21"/>
  <c r="CG7" i="21"/>
  <c r="CG6" i="21"/>
  <c r="CG5" i="21"/>
  <c r="CG4" i="21"/>
  <c r="CF8" i="21"/>
  <c r="CF6" i="21"/>
  <c r="CF4" i="21"/>
  <c r="CF7" i="21"/>
  <c r="CF5" i="21"/>
  <c r="CI8" i="21"/>
  <c r="CI7" i="21"/>
  <c r="CI6" i="21"/>
  <c r="CI5" i="21"/>
  <c r="CI4" i="21"/>
  <c r="CH8" i="21"/>
  <c r="CH6" i="21"/>
  <c r="CH4" i="21"/>
  <c r="CH5" i="21"/>
  <c r="CH7" i="21"/>
  <c r="CJ8" i="21"/>
  <c r="CJ7" i="21"/>
  <c r="CJ6" i="21"/>
  <c r="CJ5" i="21"/>
  <c r="CJ4" i="21"/>
  <c r="CK8" i="21"/>
  <c r="CK6" i="21"/>
  <c r="CK4" i="21"/>
  <c r="CK7" i="21"/>
  <c r="CK5" i="21"/>
  <c r="CG18" i="21"/>
  <c r="CG17" i="21"/>
  <c r="CG16" i="21"/>
  <c r="CG15" i="21"/>
  <c r="CG14" i="21"/>
  <c r="CF18" i="21"/>
  <c r="CF16" i="21"/>
  <c r="CF14" i="21"/>
  <c r="CF15" i="21"/>
  <c r="CF17" i="21"/>
  <c r="CG28" i="21"/>
  <c r="CG27" i="21"/>
  <c r="CG26" i="21"/>
  <c r="CG25" i="21"/>
  <c r="CG24" i="21"/>
  <c r="CF28" i="21"/>
  <c r="CF26" i="21"/>
  <c r="CF24" i="21"/>
  <c r="CF25" i="21"/>
  <c r="CF27" i="21"/>
  <c r="CC8" i="21"/>
  <c r="CC7" i="21"/>
  <c r="CC6" i="21"/>
  <c r="CC5" i="21"/>
  <c r="CC4" i="21"/>
  <c r="CB7" i="21"/>
  <c r="CB5" i="21"/>
  <c r="CB8" i="21"/>
  <c r="CB6" i="21"/>
  <c r="CB4" i="21"/>
  <c r="CQ15" i="21"/>
  <c r="CN8" i="21"/>
  <c r="CN7" i="21"/>
  <c r="CN6" i="21"/>
  <c r="CN5" i="21"/>
  <c r="CN4" i="21"/>
  <c r="CO7" i="21"/>
  <c r="CO5" i="21"/>
  <c r="CO8" i="21"/>
  <c r="CO4" i="21"/>
  <c r="CO6" i="21"/>
  <c r="CQ24" i="21"/>
  <c r="CT24" i="21" s="1"/>
  <c r="CQ22" i="15"/>
  <c r="CQ2" i="15"/>
  <c r="CQ5" i="15" s="1"/>
  <c r="CQ12" i="15"/>
  <c r="CN24" i="15" a="1"/>
  <c r="CN28" i="15" s="1"/>
  <c r="CL28" i="15"/>
  <c r="CL27" i="15"/>
  <c r="CL26" i="15"/>
  <c r="CL25" i="15"/>
  <c r="CL24" i="15"/>
  <c r="CL24" i="15" a="1"/>
  <c r="CM28" i="15" s="1"/>
  <c r="CJ28" i="15"/>
  <c r="CJ27" i="15"/>
  <c r="CJ26" i="15"/>
  <c r="CJ25" i="15"/>
  <c r="CJ24" i="15"/>
  <c r="CJ24" i="15" a="1"/>
  <c r="CK28" i="15" s="1"/>
  <c r="CH24" i="15" a="1"/>
  <c r="CH28" i="15" s="1"/>
  <c r="CF28" i="15"/>
  <c r="CF27" i="15"/>
  <c r="CF26" i="15"/>
  <c r="CF25" i="15"/>
  <c r="CF24" i="15"/>
  <c r="CF24" i="15" a="1"/>
  <c r="CG28" i="15" s="1"/>
  <c r="CD24" i="15" a="1"/>
  <c r="CD28" i="15" s="1"/>
  <c r="CN18" i="15"/>
  <c r="CN17" i="15"/>
  <c r="CN16" i="15"/>
  <c r="CN15" i="15"/>
  <c r="CN14" i="15"/>
  <c r="CN14" i="15" a="1"/>
  <c r="CO18" i="15" s="1"/>
  <c r="CL14" i="15" a="1"/>
  <c r="CL18" i="15" s="1"/>
  <c r="CJ14" i="15" a="1"/>
  <c r="CK18" i="15" s="1"/>
  <c r="CH18" i="15"/>
  <c r="CH17" i="15"/>
  <c r="CH16" i="15"/>
  <c r="CH15" i="15"/>
  <c r="CH14" i="15"/>
  <c r="CH14" i="15" a="1"/>
  <c r="CI18" i="15" s="1"/>
  <c r="CF18" i="15"/>
  <c r="CF17" i="15"/>
  <c r="CF16" i="15"/>
  <c r="CF15" i="15"/>
  <c r="CF14" i="15"/>
  <c r="CF14" i="15" a="1"/>
  <c r="CG18" i="15" s="1"/>
  <c r="CD14" i="15" a="1"/>
  <c r="CD18" i="15" s="1"/>
  <c r="CN4" i="15" a="1"/>
  <c r="CO8" i="15" s="1"/>
  <c r="CL8" i="15"/>
  <c r="CL7" i="15"/>
  <c r="CL6" i="15"/>
  <c r="CL5" i="15"/>
  <c r="CL4" i="15"/>
  <c r="CL4" i="15" a="1"/>
  <c r="CM8" i="15" s="1"/>
  <c r="CJ4" i="15" a="1"/>
  <c r="CK8" i="15" s="1"/>
  <c r="CH8" i="15"/>
  <c r="CH7" i="15"/>
  <c r="CH6" i="15"/>
  <c r="CH5" i="15"/>
  <c r="CH4" i="15"/>
  <c r="CH4" i="15" a="1"/>
  <c r="CI8" i="15" s="1"/>
  <c r="CF8" i="15"/>
  <c r="CF7" i="15"/>
  <c r="CF6" i="15"/>
  <c r="CF5" i="15"/>
  <c r="CF4" i="15"/>
  <c r="CF4" i="15" a="1"/>
  <c r="CG8" i="15" s="1"/>
  <c r="CD4" i="15" a="1"/>
  <c r="CD8" i="15" s="1"/>
  <c r="CB24" i="15" a="1"/>
  <c r="CB28" i="15" s="1"/>
  <c r="BZ28" i="15"/>
  <c r="BZ27" i="15"/>
  <c r="BZ26" i="15"/>
  <c r="BZ25" i="15"/>
  <c r="BZ24" i="15"/>
  <c r="BZ24" i="15" a="1"/>
  <c r="CA28" i="15" s="1"/>
  <c r="CB18" i="15"/>
  <c r="CB17" i="15"/>
  <c r="CB16" i="15"/>
  <c r="CB15" i="15"/>
  <c r="CB14" i="15"/>
  <c r="CB14" i="15" a="1"/>
  <c r="CC18" i="15" s="1"/>
  <c r="BZ14" i="15" a="1"/>
  <c r="BZ18" i="15" s="1"/>
  <c r="CB4" i="15" a="1"/>
  <c r="CB4" i="15" s="1"/>
  <c r="BZ4" i="15" a="1"/>
  <c r="BZ4" i="15"/>
  <c r="CA4" i="15"/>
  <c r="BZ5" i="15"/>
  <c r="CA5" i="15"/>
  <c r="BZ6" i="15"/>
  <c r="CA6" i="15"/>
  <c r="BZ7" i="15"/>
  <c r="CA7" i="15"/>
  <c r="BZ8" i="15"/>
  <c r="CA8" i="15"/>
  <c r="BW26" i="15"/>
  <c r="BV26" i="15"/>
  <c r="BW25" i="15"/>
  <c r="BV25" i="15"/>
  <c r="BW24" i="15"/>
  <c r="BV24" i="15"/>
  <c r="BS26" i="15"/>
  <c r="BR26" i="15"/>
  <c r="BS25" i="15"/>
  <c r="BR25" i="15"/>
  <c r="BS24" i="15"/>
  <c r="BR24" i="15"/>
  <c r="BO26" i="15"/>
  <c r="BN26" i="15"/>
  <c r="BO25" i="15"/>
  <c r="BN25" i="15"/>
  <c r="BO24" i="15"/>
  <c r="BN24" i="15"/>
  <c r="BK26" i="15"/>
  <c r="BJ26" i="15"/>
  <c r="BK25" i="15"/>
  <c r="BJ25" i="15"/>
  <c r="BK24" i="15"/>
  <c r="BJ24" i="15"/>
  <c r="BW16" i="15"/>
  <c r="BV16" i="15"/>
  <c r="BW15" i="15"/>
  <c r="BV15" i="15"/>
  <c r="BW14" i="15"/>
  <c r="BV14" i="15"/>
  <c r="BS16" i="15"/>
  <c r="BR16" i="15"/>
  <c r="BS15" i="15"/>
  <c r="BR15" i="15"/>
  <c r="BS14" i="15"/>
  <c r="BR14" i="15"/>
  <c r="BO16" i="15"/>
  <c r="BN16" i="15"/>
  <c r="BO15" i="15"/>
  <c r="BN15" i="15"/>
  <c r="BO14" i="15"/>
  <c r="BN14" i="15"/>
  <c r="BK16" i="15"/>
  <c r="BJ16" i="15"/>
  <c r="BK15" i="15"/>
  <c r="BJ15" i="15"/>
  <c r="BK14" i="15"/>
  <c r="BJ14" i="15"/>
  <c r="BW6" i="15"/>
  <c r="BW5" i="15"/>
  <c r="BW4" i="15"/>
  <c r="BV6" i="15"/>
  <c r="BV5" i="15"/>
  <c r="BV4" i="15"/>
  <c r="BS6" i="15"/>
  <c r="BS5" i="15"/>
  <c r="BS4" i="15"/>
  <c r="BR6" i="15"/>
  <c r="BR5" i="15"/>
  <c r="BR4" i="15"/>
  <c r="BO6" i="15"/>
  <c r="BO5" i="15"/>
  <c r="BO4" i="15"/>
  <c r="BN6" i="15"/>
  <c r="BN5" i="15"/>
  <c r="BN4" i="15"/>
  <c r="BK6" i="15"/>
  <c r="BK5" i="15"/>
  <c r="BK4" i="15"/>
  <c r="BJ6" i="15"/>
  <c r="BJ5" i="15"/>
  <c r="BJ4" i="15"/>
  <c r="BF24" i="15" a="1"/>
  <c r="BF28" i="15" s="1"/>
  <c r="BD28" i="15"/>
  <c r="BD27" i="15"/>
  <c r="BD26" i="15"/>
  <c r="BD25" i="15"/>
  <c r="BD24" i="15"/>
  <c r="BD24" i="15" a="1"/>
  <c r="BE28" i="15" s="1"/>
  <c r="BB24" i="15" a="1"/>
  <c r="BB28" i="15" s="1"/>
  <c r="AZ28" i="15"/>
  <c r="AZ27" i="15"/>
  <c r="AZ26" i="15"/>
  <c r="AZ25" i="15"/>
  <c r="AZ24" i="15"/>
  <c r="AZ24" i="15" a="1"/>
  <c r="BA28" i="15" s="1"/>
  <c r="AX28" i="15"/>
  <c r="AX27" i="15"/>
  <c r="AX26" i="15"/>
  <c r="AX25" i="15"/>
  <c r="AX24" i="15"/>
  <c r="AX24" i="15" a="1"/>
  <c r="AY28" i="15" s="1"/>
  <c r="AV28" i="15"/>
  <c r="AV27" i="15"/>
  <c r="AV26" i="15"/>
  <c r="AV25" i="15"/>
  <c r="AV24" i="15"/>
  <c r="AV24" i="15" a="1"/>
  <c r="AW28" i="15" s="1"/>
  <c r="AT28" i="15"/>
  <c r="AT27" i="15"/>
  <c r="AT26" i="15"/>
  <c r="AT25" i="15"/>
  <c r="AT24" i="15"/>
  <c r="AT24" i="15" a="1"/>
  <c r="AU28" i="15" s="1"/>
  <c r="AR28" i="15"/>
  <c r="AR27" i="15"/>
  <c r="AR26" i="15"/>
  <c r="AR25" i="15"/>
  <c r="AR24" i="15"/>
  <c r="AR24" i="15" a="1"/>
  <c r="AS28" i="15" s="1"/>
  <c r="AP28" i="15"/>
  <c r="AP27" i="15"/>
  <c r="AP26" i="15"/>
  <c r="AP25" i="15"/>
  <c r="AP24" i="15"/>
  <c r="AP24" i="15" a="1"/>
  <c r="AQ28" i="15" s="1"/>
  <c r="AN28" i="15"/>
  <c r="AN27" i="15"/>
  <c r="AN26" i="15"/>
  <c r="AN25" i="15"/>
  <c r="AN24" i="15"/>
  <c r="AN24" i="15" a="1"/>
  <c r="AO28" i="15" s="1"/>
  <c r="AL28" i="15"/>
  <c r="AL27" i="15"/>
  <c r="AL26" i="15"/>
  <c r="AL25" i="15"/>
  <c r="AL24" i="15"/>
  <c r="AL24" i="15" a="1"/>
  <c r="AM28" i="15" s="1"/>
  <c r="AJ24" i="15" a="1"/>
  <c r="AJ24" i="15"/>
  <c r="AK24" i="15"/>
  <c r="AJ25" i="15"/>
  <c r="AK25" i="15"/>
  <c r="AJ26" i="15"/>
  <c r="AK26" i="15"/>
  <c r="AJ27" i="15"/>
  <c r="AK27" i="15"/>
  <c r="AJ28" i="15"/>
  <c r="AK28" i="15"/>
  <c r="BF18" i="15"/>
  <c r="BF17" i="15"/>
  <c r="BF16" i="15"/>
  <c r="BF15" i="15"/>
  <c r="BF14" i="15"/>
  <c r="BF14" i="15" a="1"/>
  <c r="BG18" i="15" s="1"/>
  <c r="BD18" i="15"/>
  <c r="BD17" i="15"/>
  <c r="BD16" i="15"/>
  <c r="BD15" i="15"/>
  <c r="BD14" i="15"/>
  <c r="BD14" i="15" a="1"/>
  <c r="BE18" i="15" s="1"/>
  <c r="BB18" i="15"/>
  <c r="BB17" i="15"/>
  <c r="BB16" i="15"/>
  <c r="BB15" i="15"/>
  <c r="BB14" i="15"/>
  <c r="BB14" i="15" a="1"/>
  <c r="BC18" i="15" s="1"/>
  <c r="AZ18" i="15"/>
  <c r="AZ17" i="15"/>
  <c r="AZ16" i="15"/>
  <c r="AZ15" i="15"/>
  <c r="AZ14" i="15"/>
  <c r="AZ14" i="15" a="1"/>
  <c r="BA18" i="15" s="1"/>
  <c r="AX18" i="15"/>
  <c r="AX17" i="15"/>
  <c r="AX16" i="15"/>
  <c r="AX15" i="15"/>
  <c r="AX14" i="15"/>
  <c r="AX14" i="15" a="1"/>
  <c r="AY18" i="15" s="1"/>
  <c r="AV18" i="15"/>
  <c r="AV17" i="15"/>
  <c r="AV16" i="15"/>
  <c r="AV15" i="15"/>
  <c r="AV14" i="15"/>
  <c r="AV14" i="15" a="1"/>
  <c r="AW18" i="15" s="1"/>
  <c r="AT18" i="15"/>
  <c r="AT17" i="15"/>
  <c r="AT16" i="15"/>
  <c r="AT15" i="15"/>
  <c r="AT14" i="15"/>
  <c r="AT14" i="15" a="1"/>
  <c r="AU18" i="15" s="1"/>
  <c r="AR18" i="15"/>
  <c r="AR17" i="15"/>
  <c r="AR16" i="15"/>
  <c r="AR15" i="15"/>
  <c r="AR14" i="15"/>
  <c r="AR14" i="15" a="1"/>
  <c r="AS18" i="15" s="1"/>
  <c r="AP18" i="15"/>
  <c r="AP17" i="15"/>
  <c r="AP16" i="15"/>
  <c r="AP15" i="15"/>
  <c r="AP14" i="15"/>
  <c r="AP14" i="15" a="1"/>
  <c r="AQ18" i="15" s="1"/>
  <c r="AN18" i="15"/>
  <c r="AN17" i="15"/>
  <c r="AN16" i="15"/>
  <c r="AN15" i="15"/>
  <c r="AN14" i="15"/>
  <c r="AN14" i="15" a="1"/>
  <c r="AO18" i="15" s="1"/>
  <c r="AL18" i="15"/>
  <c r="AL17" i="15"/>
  <c r="AL16" i="15"/>
  <c r="AL15" i="15"/>
  <c r="AL14" i="15"/>
  <c r="AL14" i="15" a="1"/>
  <c r="AM18" i="15" s="1"/>
  <c r="AJ14" i="15" a="1"/>
  <c r="AJ14" i="15"/>
  <c r="AK14" i="15"/>
  <c r="AJ15" i="15"/>
  <c r="AK15" i="15"/>
  <c r="AJ16" i="15"/>
  <c r="AK16" i="15"/>
  <c r="AJ17" i="15"/>
  <c r="AK17" i="15"/>
  <c r="AJ18" i="15"/>
  <c r="AK18" i="15"/>
  <c r="BF8" i="15"/>
  <c r="BF7" i="15"/>
  <c r="BF6" i="15"/>
  <c r="BF5" i="15"/>
  <c r="BF4" i="15"/>
  <c r="BF4" i="15" a="1"/>
  <c r="BG8" i="15" s="1"/>
  <c r="BD8" i="15"/>
  <c r="BD7" i="15"/>
  <c r="BD6" i="15"/>
  <c r="BD5" i="15"/>
  <c r="BD4" i="15"/>
  <c r="BD4" i="15" a="1"/>
  <c r="BE8" i="15" s="1"/>
  <c r="BB8" i="15"/>
  <c r="BB7" i="15"/>
  <c r="BB6" i="15"/>
  <c r="BB5" i="15"/>
  <c r="BB4" i="15"/>
  <c r="BB4" i="15" a="1"/>
  <c r="BC8" i="15" s="1"/>
  <c r="AZ8" i="15"/>
  <c r="AZ7" i="15"/>
  <c r="AZ6" i="15"/>
  <c r="AZ5" i="15"/>
  <c r="AZ4" i="15"/>
  <c r="AZ4" i="15" a="1"/>
  <c r="BA8" i="15" s="1"/>
  <c r="AX8" i="15"/>
  <c r="AX7" i="15"/>
  <c r="AX6" i="15"/>
  <c r="AX5" i="15"/>
  <c r="AX4" i="15"/>
  <c r="AX4" i="15" a="1"/>
  <c r="AY8" i="15" s="1"/>
  <c r="AV8" i="15"/>
  <c r="AV7" i="15"/>
  <c r="AV6" i="15"/>
  <c r="AV5" i="15"/>
  <c r="AV4" i="15"/>
  <c r="AV4" i="15" a="1"/>
  <c r="AW8" i="15" s="1"/>
  <c r="AT8" i="15"/>
  <c r="AT7" i="15"/>
  <c r="AT6" i="15"/>
  <c r="AT5" i="15"/>
  <c r="AT4" i="15"/>
  <c r="AT4" i="15" a="1"/>
  <c r="AU8" i="15" s="1"/>
  <c r="AR8" i="15"/>
  <c r="AR7" i="15"/>
  <c r="AR6" i="15"/>
  <c r="AR5" i="15"/>
  <c r="AR4" i="15"/>
  <c r="AR4" i="15" a="1"/>
  <c r="AS8" i="15" s="1"/>
  <c r="AP8" i="15"/>
  <c r="AP7" i="15"/>
  <c r="AP6" i="15"/>
  <c r="AP5" i="15"/>
  <c r="AP4" i="15"/>
  <c r="AP4" i="15" a="1"/>
  <c r="AQ8" i="15" s="1"/>
  <c r="AN8" i="15"/>
  <c r="AN7" i="15"/>
  <c r="AN6" i="15"/>
  <c r="AN5" i="15"/>
  <c r="AN4" i="15"/>
  <c r="AN4" i="15" a="1"/>
  <c r="AO8" i="15" s="1"/>
  <c r="AL8" i="15"/>
  <c r="AL7" i="15"/>
  <c r="AL6" i="15"/>
  <c r="AL5" i="15"/>
  <c r="AL4" i="15"/>
  <c r="AL4" i="15" a="1"/>
  <c r="AM8" i="15" s="1"/>
  <c r="AJ4" i="15" a="1"/>
  <c r="AJ4" i="15"/>
  <c r="AK4" i="15"/>
  <c r="AJ5" i="15"/>
  <c r="AK5" i="15"/>
  <c r="AJ6" i="15"/>
  <c r="AK6" i="15"/>
  <c r="AJ7" i="15"/>
  <c r="AK7" i="15"/>
  <c r="AJ8" i="15"/>
  <c r="AK8" i="15"/>
  <c r="CR5" i="15" l="1"/>
  <c r="H123" i="16"/>
  <c r="CR25" i="15"/>
  <c r="CQ25" i="15"/>
  <c r="CR4" i="15"/>
  <c r="CQ4" i="15"/>
  <c r="CR14" i="15"/>
  <c r="CQ14" i="15"/>
  <c r="CR15" i="15"/>
  <c r="CQ15" i="15"/>
  <c r="CR24" i="15"/>
  <c r="CQ24" i="15"/>
  <c r="CR4" i="21"/>
  <c r="CT4" i="21" s="1"/>
  <c r="CT31" i="21" s="1"/>
  <c r="AB27" i="14" s="1"/>
  <c r="CR15" i="21"/>
  <c r="CT15" i="21" s="1"/>
  <c r="CT32" i="21" s="1"/>
  <c r="AB29" i="14" s="1"/>
  <c r="CO24" i="15"/>
  <c r="CO25" i="15"/>
  <c r="CO26" i="15"/>
  <c r="CO27" i="15"/>
  <c r="CO28" i="15"/>
  <c r="CM24" i="15"/>
  <c r="CM25" i="15"/>
  <c r="CM26" i="15"/>
  <c r="CM27" i="15"/>
  <c r="CN24" i="15"/>
  <c r="CN25" i="15"/>
  <c r="CN26" i="15"/>
  <c r="CN27" i="15"/>
  <c r="CI24" i="15"/>
  <c r="CI25" i="15"/>
  <c r="CI26" i="15"/>
  <c r="CI27" i="15"/>
  <c r="CI28" i="15"/>
  <c r="CH24" i="15"/>
  <c r="CH25" i="15"/>
  <c r="CH26" i="15"/>
  <c r="CH27" i="15"/>
  <c r="CK24" i="15"/>
  <c r="CK25" i="15"/>
  <c r="CK26" i="15"/>
  <c r="CK27" i="15"/>
  <c r="CE24" i="15"/>
  <c r="CE25" i="15"/>
  <c r="CE26" i="15"/>
  <c r="CE27" i="15"/>
  <c r="CE28" i="15"/>
  <c r="CD24" i="15"/>
  <c r="CD25" i="15"/>
  <c r="CD26" i="15"/>
  <c r="CD27" i="15"/>
  <c r="CG24" i="15"/>
  <c r="CG25" i="15"/>
  <c r="CG26" i="15"/>
  <c r="CG27" i="15"/>
  <c r="CM14" i="15"/>
  <c r="CM15" i="15"/>
  <c r="CM16" i="15"/>
  <c r="CM17" i="15"/>
  <c r="CM18" i="15"/>
  <c r="CL14" i="15"/>
  <c r="CL15" i="15"/>
  <c r="CL16" i="15"/>
  <c r="CL17" i="15"/>
  <c r="CO14" i="15"/>
  <c r="CO15" i="15"/>
  <c r="CO16" i="15"/>
  <c r="CO17" i="15"/>
  <c r="CI14" i="15"/>
  <c r="CI15" i="15"/>
  <c r="CI16" i="15"/>
  <c r="CI17" i="15"/>
  <c r="CJ14" i="15"/>
  <c r="CJ15" i="15"/>
  <c r="CJ16" i="15"/>
  <c r="CJ17" i="15"/>
  <c r="CJ18" i="15"/>
  <c r="CK14" i="15"/>
  <c r="CK15" i="15"/>
  <c r="CK16" i="15"/>
  <c r="CK17" i="15"/>
  <c r="CE14" i="15"/>
  <c r="CE15" i="15"/>
  <c r="CE16" i="15"/>
  <c r="CE17" i="15"/>
  <c r="CE18" i="15"/>
  <c r="CD14" i="15"/>
  <c r="CD15" i="15"/>
  <c r="CD16" i="15"/>
  <c r="CD17" i="15"/>
  <c r="CG14" i="15"/>
  <c r="CG15" i="15"/>
  <c r="CG16" i="15"/>
  <c r="CG17" i="15"/>
  <c r="CM4" i="15"/>
  <c r="CM5" i="15"/>
  <c r="CM6" i="15"/>
  <c r="CM7" i="15"/>
  <c r="CN4" i="15"/>
  <c r="CN5" i="15"/>
  <c r="CN6" i="15"/>
  <c r="CN7" i="15"/>
  <c r="CN8" i="15"/>
  <c r="CO4" i="15"/>
  <c r="CO5" i="15"/>
  <c r="CO6" i="15"/>
  <c r="CO7" i="15"/>
  <c r="CI4" i="15"/>
  <c r="CI5" i="15"/>
  <c r="CI6" i="15"/>
  <c r="CI7" i="15"/>
  <c r="CJ4" i="15"/>
  <c r="CJ5" i="15"/>
  <c r="CJ6" i="15"/>
  <c r="CJ7" i="15"/>
  <c r="CJ8" i="15"/>
  <c r="CK4" i="15"/>
  <c r="CK5" i="15"/>
  <c r="CK6" i="15"/>
  <c r="CK7" i="15"/>
  <c r="CE4" i="15"/>
  <c r="CE5" i="15"/>
  <c r="CE6" i="15"/>
  <c r="CE7" i="15"/>
  <c r="CE8" i="15"/>
  <c r="CD4" i="15"/>
  <c r="CD5" i="15"/>
  <c r="CD6" i="15"/>
  <c r="CD7" i="15"/>
  <c r="CG4" i="15"/>
  <c r="CG5" i="15"/>
  <c r="CG6" i="15"/>
  <c r="CG7" i="15"/>
  <c r="CC24" i="15"/>
  <c r="CC25" i="15"/>
  <c r="CC26" i="15"/>
  <c r="CC27" i="15"/>
  <c r="CC28" i="15"/>
  <c r="CA24" i="15"/>
  <c r="CA25" i="15"/>
  <c r="CA26" i="15"/>
  <c r="CA27" i="15"/>
  <c r="CB24" i="15"/>
  <c r="CB25" i="15"/>
  <c r="CB26" i="15"/>
  <c r="CB27" i="15"/>
  <c r="CA14" i="15"/>
  <c r="CA15" i="15"/>
  <c r="CA16" i="15"/>
  <c r="CA17" i="15"/>
  <c r="CA18" i="15"/>
  <c r="BZ14" i="15"/>
  <c r="BZ15" i="15"/>
  <c r="BZ16" i="15"/>
  <c r="BZ17" i="15"/>
  <c r="CC14" i="15"/>
  <c r="CC15" i="15"/>
  <c r="CC16" i="15"/>
  <c r="CC17" i="15"/>
  <c r="CC8" i="15"/>
  <c r="CC7" i="15"/>
  <c r="CC6" i="15"/>
  <c r="CC5" i="15"/>
  <c r="CC4" i="15"/>
  <c r="CB8" i="15"/>
  <c r="CB7" i="15"/>
  <c r="CB6" i="15"/>
  <c r="CB5" i="15"/>
  <c r="BG24" i="15"/>
  <c r="BG25" i="15"/>
  <c r="BG26" i="15"/>
  <c r="BG27" i="15"/>
  <c r="BG28" i="15"/>
  <c r="BF24" i="15"/>
  <c r="BF25" i="15"/>
  <c r="BF26" i="15"/>
  <c r="BF27" i="15"/>
  <c r="BE24" i="15"/>
  <c r="BE25" i="15"/>
  <c r="BE26" i="15"/>
  <c r="BE27" i="15"/>
  <c r="BC24" i="15"/>
  <c r="BC25" i="15"/>
  <c r="BC26" i="15"/>
  <c r="BC27" i="15"/>
  <c r="BC28" i="15"/>
  <c r="BB24" i="15"/>
  <c r="BB25" i="15"/>
  <c r="BB26" i="15"/>
  <c r="BB27" i="15"/>
  <c r="BA24" i="15"/>
  <c r="BA25" i="15"/>
  <c r="BA26" i="15"/>
  <c r="BA27" i="15"/>
  <c r="AY24" i="15"/>
  <c r="AY25" i="15"/>
  <c r="AY26" i="15"/>
  <c r="AY27" i="15"/>
  <c r="AW24" i="15"/>
  <c r="AW25" i="15"/>
  <c r="AW26" i="15"/>
  <c r="AW27" i="15"/>
  <c r="AU24" i="15"/>
  <c r="AU25" i="15"/>
  <c r="AU26" i="15"/>
  <c r="AU27" i="15"/>
  <c r="AS24" i="15"/>
  <c r="AS25" i="15"/>
  <c r="AS26" i="15"/>
  <c r="AS27" i="15"/>
  <c r="AQ24" i="15"/>
  <c r="AQ25" i="15"/>
  <c r="AQ26" i="15"/>
  <c r="AQ27" i="15"/>
  <c r="AO24" i="15"/>
  <c r="AO25" i="15"/>
  <c r="AO26" i="15"/>
  <c r="AO27" i="15"/>
  <c r="AM24" i="15"/>
  <c r="AM25" i="15"/>
  <c r="AM26" i="15"/>
  <c r="AM27" i="15"/>
  <c r="BG14" i="15"/>
  <c r="BG15" i="15"/>
  <c r="BG16" i="15"/>
  <c r="BG17" i="15"/>
  <c r="BE14" i="15"/>
  <c r="BE15" i="15"/>
  <c r="BE16" i="15"/>
  <c r="BE17" i="15"/>
  <c r="BC14" i="15"/>
  <c r="BC15" i="15"/>
  <c r="BC16" i="15"/>
  <c r="BC17" i="15"/>
  <c r="BA14" i="15"/>
  <c r="BA15" i="15"/>
  <c r="BA16" i="15"/>
  <c r="BA17" i="15"/>
  <c r="AY14" i="15"/>
  <c r="AY15" i="15"/>
  <c r="AY16" i="15"/>
  <c r="AY17" i="15"/>
  <c r="AW14" i="15"/>
  <c r="AW15" i="15"/>
  <c r="AW16" i="15"/>
  <c r="AW17" i="15"/>
  <c r="AU14" i="15"/>
  <c r="AU15" i="15"/>
  <c r="AU16" i="15"/>
  <c r="AU17" i="15"/>
  <c r="AS14" i="15"/>
  <c r="AS15" i="15"/>
  <c r="AS16" i="15"/>
  <c r="AS17" i="15"/>
  <c r="AQ14" i="15"/>
  <c r="AQ15" i="15"/>
  <c r="AQ16" i="15"/>
  <c r="AQ17" i="15"/>
  <c r="AO14" i="15"/>
  <c r="AO15" i="15"/>
  <c r="AO16" i="15"/>
  <c r="AO17" i="15"/>
  <c r="AM14" i="15"/>
  <c r="AM15" i="15"/>
  <c r="AM16" i="15"/>
  <c r="AM17" i="15"/>
  <c r="BG4" i="15"/>
  <c r="BG5" i="15"/>
  <c r="BG6" i="15"/>
  <c r="BG7" i="15"/>
  <c r="BE4" i="15"/>
  <c r="BE5" i="15"/>
  <c r="BE6" i="15"/>
  <c r="BE7" i="15"/>
  <c r="BC4" i="15"/>
  <c r="BC5" i="15"/>
  <c r="BC6" i="15"/>
  <c r="BC7" i="15"/>
  <c r="BA4" i="15"/>
  <c r="BA5" i="15"/>
  <c r="BA6" i="15"/>
  <c r="BA7" i="15"/>
  <c r="AY4" i="15"/>
  <c r="AY5" i="15"/>
  <c r="AY6" i="15"/>
  <c r="AY7" i="15"/>
  <c r="AW4" i="15"/>
  <c r="AW5" i="15"/>
  <c r="AW6" i="15"/>
  <c r="AW7" i="15"/>
  <c r="AU4" i="15"/>
  <c r="AU5" i="15"/>
  <c r="AU6" i="15"/>
  <c r="AU7" i="15"/>
  <c r="AS4" i="15"/>
  <c r="AS5" i="15"/>
  <c r="AS6" i="15"/>
  <c r="AS7" i="15"/>
  <c r="AQ4" i="15"/>
  <c r="AQ5" i="15"/>
  <c r="AQ6" i="15"/>
  <c r="AQ7" i="15"/>
  <c r="AO4" i="15"/>
  <c r="AO5" i="15"/>
  <c r="AO6" i="15"/>
  <c r="AO7" i="15"/>
  <c r="AM4" i="15"/>
  <c r="AM5" i="15"/>
  <c r="AM6" i="15"/>
  <c r="AM7" i="15"/>
  <c r="H221" i="17"/>
  <c r="H220" i="17"/>
  <c r="H219" i="17"/>
  <c r="H218" i="17"/>
  <c r="H217" i="17"/>
  <c r="H216" i="17"/>
  <c r="H215" i="17"/>
  <c r="H214" i="17"/>
  <c r="H213" i="17"/>
  <c r="H212" i="17"/>
  <c r="H211" i="17"/>
  <c r="H210" i="17"/>
  <c r="H209" i="17"/>
  <c r="H208" i="17"/>
  <c r="H207" i="17"/>
  <c r="H206" i="17"/>
  <c r="H205" i="17"/>
  <c r="H204" i="17"/>
  <c r="H203" i="17"/>
  <c r="H202" i="17"/>
  <c r="H201" i="17"/>
  <c r="H200" i="17"/>
  <c r="H199" i="17"/>
  <c r="H198" i="17"/>
  <c r="H197" i="17"/>
  <c r="H196" i="17"/>
  <c r="H195" i="17"/>
  <c r="H194" i="17"/>
  <c r="H193" i="17"/>
  <c r="H192" i="17"/>
  <c r="H191" i="17"/>
  <c r="H190" i="17"/>
  <c r="H189" i="17"/>
  <c r="H188" i="17"/>
  <c r="H187" i="17"/>
  <c r="H186" i="17"/>
  <c r="H185" i="17"/>
  <c r="H184" i="17"/>
  <c r="H183" i="17"/>
  <c r="H182" i="17"/>
  <c r="H181" i="17"/>
  <c r="H180" i="17"/>
  <c r="H179" i="17"/>
  <c r="H178" i="17"/>
  <c r="H177" i="17"/>
  <c r="H176" i="17"/>
  <c r="H175" i="17"/>
  <c r="H174" i="17"/>
  <c r="H173" i="17"/>
  <c r="H172" i="17"/>
  <c r="H171" i="17"/>
  <c r="H170" i="17"/>
  <c r="H169" i="17"/>
  <c r="H168" i="17"/>
  <c r="H167" i="17"/>
  <c r="H166" i="17"/>
  <c r="H165" i="17"/>
  <c r="H164" i="17"/>
  <c r="H163" i="17"/>
  <c r="H162" i="17"/>
  <c r="H161" i="17"/>
  <c r="H160" i="17"/>
  <c r="H159" i="17"/>
  <c r="H158" i="17"/>
  <c r="H157" i="17"/>
  <c r="H156" i="17"/>
  <c r="H155" i="17"/>
  <c r="H154" i="17"/>
  <c r="H153" i="17"/>
  <c r="H152" i="17"/>
  <c r="H151" i="17"/>
  <c r="H150" i="17"/>
  <c r="H149" i="17"/>
  <c r="H148" i="17"/>
  <c r="H147" i="17"/>
  <c r="H146" i="17"/>
  <c r="H145" i="17"/>
  <c r="H144" i="17"/>
  <c r="H143" i="17"/>
  <c r="H142" i="17"/>
  <c r="H141" i="17"/>
  <c r="H140" i="17"/>
  <c r="H139" i="17"/>
  <c r="H138" i="17"/>
  <c r="H137" i="17"/>
  <c r="H136" i="17"/>
  <c r="H135" i="17"/>
  <c r="H134" i="17"/>
  <c r="H133" i="17"/>
  <c r="H132" i="17"/>
  <c r="H131" i="17"/>
  <c r="H130" i="17"/>
  <c r="H129" i="17"/>
  <c r="H128" i="17"/>
  <c r="H127" i="17"/>
  <c r="H126" i="17"/>
  <c r="H125" i="17"/>
  <c r="H124" i="17"/>
  <c r="H123" i="17"/>
  <c r="H122" i="17"/>
  <c r="H121" i="17"/>
  <c r="H120" i="17"/>
  <c r="H119" i="17"/>
  <c r="H118" i="17"/>
  <c r="H117" i="17"/>
  <c r="H116" i="17"/>
  <c r="H115" i="17"/>
  <c r="H114" i="17"/>
  <c r="G221" i="17"/>
  <c r="G220" i="17"/>
  <c r="G219" i="17"/>
  <c r="G218" i="17"/>
  <c r="G217" i="17"/>
  <c r="G216" i="17"/>
  <c r="G215" i="17"/>
  <c r="G214" i="17"/>
  <c r="G213" i="17"/>
  <c r="G212" i="17"/>
  <c r="G211" i="17"/>
  <c r="G210" i="17"/>
  <c r="G209" i="17"/>
  <c r="G208" i="17"/>
  <c r="G207" i="17"/>
  <c r="G206" i="17"/>
  <c r="G205" i="17"/>
  <c r="G204" i="17"/>
  <c r="G203" i="17"/>
  <c r="G202" i="17"/>
  <c r="G201" i="17"/>
  <c r="G200" i="17"/>
  <c r="G199" i="17"/>
  <c r="G198" i="17"/>
  <c r="G197" i="17"/>
  <c r="G196" i="17"/>
  <c r="G195" i="17"/>
  <c r="G194" i="17"/>
  <c r="G193" i="17"/>
  <c r="G192" i="17"/>
  <c r="G191" i="17"/>
  <c r="G190" i="17"/>
  <c r="G189" i="17"/>
  <c r="G188" i="17"/>
  <c r="G187" i="17"/>
  <c r="G186" i="17"/>
  <c r="G185" i="17"/>
  <c r="G184" i="17"/>
  <c r="G183" i="17"/>
  <c r="G182" i="17"/>
  <c r="G181" i="17"/>
  <c r="G180" i="17"/>
  <c r="G179" i="17"/>
  <c r="G178" i="17"/>
  <c r="G177" i="17"/>
  <c r="G176" i="17"/>
  <c r="G175" i="17"/>
  <c r="G174" i="17"/>
  <c r="G173" i="17"/>
  <c r="G172" i="17"/>
  <c r="G171" i="17"/>
  <c r="G170" i="17"/>
  <c r="G169" i="17"/>
  <c r="G168" i="17"/>
  <c r="G167" i="17"/>
  <c r="G166" i="17"/>
  <c r="G165" i="17"/>
  <c r="G164" i="17"/>
  <c r="G163" i="17"/>
  <c r="G162" i="17"/>
  <c r="G161" i="17"/>
  <c r="G160" i="17"/>
  <c r="G159" i="17"/>
  <c r="G158" i="17"/>
  <c r="G157" i="17"/>
  <c r="G156" i="17"/>
  <c r="G155" i="17"/>
  <c r="G154" i="17"/>
  <c r="G153" i="17"/>
  <c r="G152" i="17"/>
  <c r="G151" i="17"/>
  <c r="G150" i="17"/>
  <c r="G149" i="17"/>
  <c r="G148" i="17"/>
  <c r="G147" i="17"/>
  <c r="G146" i="17"/>
  <c r="G145" i="17"/>
  <c r="G144" i="17"/>
  <c r="G143" i="17"/>
  <c r="G142" i="17"/>
  <c r="G141" i="17"/>
  <c r="G140" i="17"/>
  <c r="G139" i="17"/>
  <c r="G138" i="17"/>
  <c r="G137" i="17"/>
  <c r="G136" i="17"/>
  <c r="G135" i="17"/>
  <c r="G134" i="17"/>
  <c r="G133" i="17"/>
  <c r="G132" i="17"/>
  <c r="G131" i="17"/>
  <c r="G130" i="17"/>
  <c r="G129" i="17"/>
  <c r="G128" i="17"/>
  <c r="G127" i="17"/>
  <c r="G126" i="17"/>
  <c r="G125" i="17"/>
  <c r="G124" i="17"/>
  <c r="G123" i="17"/>
  <c r="G122" i="17"/>
  <c r="G121" i="17"/>
  <c r="G120" i="17"/>
  <c r="G119" i="17"/>
  <c r="G118" i="17"/>
  <c r="G117" i="17"/>
  <c r="G116" i="17"/>
  <c r="G115" i="17"/>
  <c r="G114" i="17"/>
  <c r="F116" i="20"/>
  <c r="F115" i="20"/>
  <c r="F114" i="20"/>
  <c r="F113" i="20"/>
  <c r="F112" i="20"/>
  <c r="F111" i="20"/>
  <c r="F110" i="20"/>
  <c r="F109" i="20"/>
  <c r="F108" i="20"/>
  <c r="F107" i="20"/>
  <c r="F106" i="20"/>
  <c r="F105" i="20"/>
  <c r="F104" i="20"/>
  <c r="H103" i="20" a="1"/>
  <c r="J107" i="20" s="1"/>
  <c r="F103" i="20"/>
  <c r="F102" i="20"/>
  <c r="F101" i="20"/>
  <c r="F100" i="20"/>
  <c r="F99" i="20"/>
  <c r="F98" i="20"/>
  <c r="F97" i="20"/>
  <c r="F96" i="20"/>
  <c r="F95" i="20"/>
  <c r="F94" i="20"/>
  <c r="F93" i="20"/>
  <c r="F92" i="20"/>
  <c r="F91" i="20"/>
  <c r="F90" i="20"/>
  <c r="F89" i="20"/>
  <c r="F88" i="20"/>
  <c r="F87" i="20"/>
  <c r="F86" i="20"/>
  <c r="F85" i="20"/>
  <c r="F84" i="20"/>
  <c r="F83" i="20"/>
  <c r="F82" i="20"/>
  <c r="F81" i="20"/>
  <c r="F77" i="20"/>
  <c r="F76" i="20"/>
  <c r="F75" i="20"/>
  <c r="F74" i="20"/>
  <c r="F73" i="20"/>
  <c r="F72" i="20"/>
  <c r="F71" i="20"/>
  <c r="F70" i="20"/>
  <c r="F69" i="20"/>
  <c r="F68" i="20"/>
  <c r="F67" i="20"/>
  <c r="F66" i="20"/>
  <c r="F65" i="20"/>
  <c r="H68" i="20"/>
  <c r="H67" i="20"/>
  <c r="H66" i="20"/>
  <c r="H65" i="20"/>
  <c r="H64" i="20"/>
  <c r="H64" i="20" a="1"/>
  <c r="K68" i="20" s="1"/>
  <c r="F64" i="20"/>
  <c r="F63" i="20"/>
  <c r="F62" i="20"/>
  <c r="F61" i="20"/>
  <c r="F60" i="20"/>
  <c r="F59" i="20"/>
  <c r="F58" i="20"/>
  <c r="F57" i="20"/>
  <c r="F56" i="20"/>
  <c r="F55" i="20"/>
  <c r="F54" i="20"/>
  <c r="F53" i="20"/>
  <c r="F52" i="20"/>
  <c r="F51" i="20"/>
  <c r="F50" i="20"/>
  <c r="F49" i="20"/>
  <c r="F48" i="20"/>
  <c r="F47" i="20"/>
  <c r="F46" i="20"/>
  <c r="F45" i="20"/>
  <c r="F44" i="20"/>
  <c r="F43" i="20"/>
  <c r="F42" i="20"/>
  <c r="F38" i="20"/>
  <c r="F37" i="20"/>
  <c r="F36" i="20"/>
  <c r="F35" i="20"/>
  <c r="F34" i="20"/>
  <c r="F33" i="20"/>
  <c r="F32" i="20"/>
  <c r="F31" i="20"/>
  <c r="F30" i="20"/>
  <c r="F29" i="20"/>
  <c r="F28" i="20"/>
  <c r="F27" i="20"/>
  <c r="F26" i="20"/>
  <c r="H25" i="20" a="1"/>
  <c r="J29" i="20" s="1"/>
  <c r="F25" i="20"/>
  <c r="F24" i="20"/>
  <c r="F23" i="20"/>
  <c r="F22" i="20"/>
  <c r="F21" i="20"/>
  <c r="F20" i="20"/>
  <c r="F19" i="20"/>
  <c r="F18" i="20"/>
  <c r="F17" i="20"/>
  <c r="F16" i="20"/>
  <c r="F15" i="20"/>
  <c r="F14" i="20"/>
  <c r="F13" i="20"/>
  <c r="F12" i="20"/>
  <c r="F11" i="20"/>
  <c r="F10" i="20"/>
  <c r="F9" i="20"/>
  <c r="F8" i="20"/>
  <c r="F7" i="20"/>
  <c r="F6" i="20"/>
  <c r="F5" i="20"/>
  <c r="F4" i="20"/>
  <c r="F3" i="20"/>
  <c r="J110" i="16"/>
  <c r="H110" i="16"/>
  <c r="J109" i="16"/>
  <c r="H109" i="16"/>
  <c r="J108" i="16"/>
  <c r="H108" i="16"/>
  <c r="J107" i="16"/>
  <c r="H107" i="16"/>
  <c r="J106" i="16"/>
  <c r="H106" i="16"/>
  <c r="H106" i="16" a="1"/>
  <c r="K110" i="16" s="1"/>
  <c r="J70" i="16"/>
  <c r="H70" i="16"/>
  <c r="J69" i="16"/>
  <c r="H69" i="16"/>
  <c r="J68" i="16"/>
  <c r="H68" i="16"/>
  <c r="J67" i="16"/>
  <c r="H67" i="16"/>
  <c r="J66" i="16"/>
  <c r="H66" i="16"/>
  <c r="H66" i="16" a="1"/>
  <c r="K70" i="16" s="1"/>
  <c r="H26" i="16" a="1"/>
  <c r="H26" i="16" s="1"/>
  <c r="F119" i="16"/>
  <c r="F118" i="16"/>
  <c r="F117" i="16"/>
  <c r="F116" i="16"/>
  <c r="F115" i="16"/>
  <c r="F114" i="16"/>
  <c r="F113" i="16"/>
  <c r="F112" i="16"/>
  <c r="F111" i="16"/>
  <c r="F110" i="16"/>
  <c r="F109" i="16"/>
  <c r="F108" i="16"/>
  <c r="F107" i="16"/>
  <c r="F106" i="16"/>
  <c r="F105" i="16"/>
  <c r="F104" i="16"/>
  <c r="F103" i="16"/>
  <c r="F102" i="16"/>
  <c r="F101" i="16"/>
  <c r="F100" i="16"/>
  <c r="F99" i="16"/>
  <c r="F98" i="16"/>
  <c r="F97" i="16"/>
  <c r="F96" i="16"/>
  <c r="F95" i="16"/>
  <c r="F94" i="16"/>
  <c r="F93" i="16"/>
  <c r="F92" i="16"/>
  <c r="F91" i="16"/>
  <c r="F90" i="16"/>
  <c r="F89" i="16"/>
  <c r="F88" i="16"/>
  <c r="F87" i="16"/>
  <c r="F86" i="16"/>
  <c r="F85" i="16"/>
  <c r="F84" i="16"/>
  <c r="F39" i="16"/>
  <c r="F38" i="16"/>
  <c r="F37" i="16"/>
  <c r="F36" i="16"/>
  <c r="F35" i="16"/>
  <c r="F34" i="16"/>
  <c r="F33" i="16"/>
  <c r="F32" i="16"/>
  <c r="F31" i="16"/>
  <c r="F30" i="16"/>
  <c r="F29" i="16"/>
  <c r="F28" i="16"/>
  <c r="F27" i="16"/>
  <c r="F26" i="16"/>
  <c r="F25" i="16"/>
  <c r="F24" i="16"/>
  <c r="F23" i="16"/>
  <c r="F22" i="16"/>
  <c r="F21" i="16"/>
  <c r="F20" i="16"/>
  <c r="F19" i="16"/>
  <c r="F18" i="16"/>
  <c r="F17" i="16"/>
  <c r="F16" i="16"/>
  <c r="F15" i="16"/>
  <c r="F14" i="16"/>
  <c r="F13" i="16"/>
  <c r="F12" i="16"/>
  <c r="F11" i="16"/>
  <c r="F10" i="16"/>
  <c r="F9" i="16"/>
  <c r="F8" i="16"/>
  <c r="F7" i="16"/>
  <c r="F6" i="16"/>
  <c r="F5" i="16"/>
  <c r="F4" i="16"/>
  <c r="H110" i="17"/>
  <c r="H109" i="17"/>
  <c r="H108" i="17"/>
  <c r="H107" i="17"/>
  <c r="H106" i="17"/>
  <c r="H105" i="17"/>
  <c r="H104" i="17"/>
  <c r="H103" i="17"/>
  <c r="H102" i="17"/>
  <c r="H101" i="17"/>
  <c r="H100" i="17"/>
  <c r="H99" i="17"/>
  <c r="H98" i="17"/>
  <c r="H97" i="17"/>
  <c r="H96" i="17"/>
  <c r="H95" i="17"/>
  <c r="H94" i="17"/>
  <c r="H93" i="17"/>
  <c r="H92" i="17"/>
  <c r="H91" i="17"/>
  <c r="H90" i="17"/>
  <c r="H89" i="17"/>
  <c r="H88" i="17"/>
  <c r="H87" i="17"/>
  <c r="H86" i="17"/>
  <c r="H85" i="17"/>
  <c r="H84" i="17"/>
  <c r="H83" i="17"/>
  <c r="H82" i="17"/>
  <c r="H81" i="17"/>
  <c r="H80" i="17"/>
  <c r="H79" i="17"/>
  <c r="H78" i="17"/>
  <c r="H77" i="17"/>
  <c r="H76" i="17"/>
  <c r="H75" i="17"/>
  <c r="H74" i="17"/>
  <c r="H73" i="17"/>
  <c r="H72" i="17"/>
  <c r="H71" i="17"/>
  <c r="H70" i="17"/>
  <c r="H69" i="17"/>
  <c r="H68" i="17"/>
  <c r="H67" i="17"/>
  <c r="H66" i="17"/>
  <c r="H65" i="17"/>
  <c r="H64" i="17"/>
  <c r="H63" i="17"/>
  <c r="H62" i="17"/>
  <c r="H61" i="17"/>
  <c r="H60" i="17"/>
  <c r="H59" i="17"/>
  <c r="H58" i="17"/>
  <c r="H57" i="17"/>
  <c r="H56" i="17"/>
  <c r="H55" i="17"/>
  <c r="H54" i="17"/>
  <c r="H53" i="17"/>
  <c r="H52" i="17"/>
  <c r="H51" i="17"/>
  <c r="H50" i="17"/>
  <c r="H49" i="17"/>
  <c r="H48" i="17"/>
  <c r="H47" i="17"/>
  <c r="H46" i="17"/>
  <c r="H45" i="17"/>
  <c r="H44" i="17"/>
  <c r="H43" i="17"/>
  <c r="H42" i="17"/>
  <c r="H41" i="17"/>
  <c r="H40" i="17"/>
  <c r="H39" i="17"/>
  <c r="H38" i="17"/>
  <c r="H37" i="17"/>
  <c r="H36" i="17"/>
  <c r="H35" i="17"/>
  <c r="H34" i="17"/>
  <c r="H33" i="17"/>
  <c r="H32" i="17"/>
  <c r="H31" i="17"/>
  <c r="H30" i="17"/>
  <c r="H29" i="17"/>
  <c r="H28" i="17"/>
  <c r="H27" i="17"/>
  <c r="H26" i="17"/>
  <c r="H25" i="17"/>
  <c r="H24" i="17"/>
  <c r="H23" i="17"/>
  <c r="H22" i="17"/>
  <c r="H21" i="17"/>
  <c r="H20" i="17"/>
  <c r="H19" i="17"/>
  <c r="H18" i="17"/>
  <c r="H17" i="17"/>
  <c r="H16" i="17"/>
  <c r="H15" i="17"/>
  <c r="H14" i="17"/>
  <c r="H13" i="17"/>
  <c r="H12" i="17"/>
  <c r="H11" i="17"/>
  <c r="H10" i="17"/>
  <c r="H9" i="17"/>
  <c r="H8" i="17"/>
  <c r="H7" i="17"/>
  <c r="H6" i="17"/>
  <c r="H5" i="17"/>
  <c r="H4" i="17"/>
  <c r="H3" i="17"/>
  <c r="G110" i="17"/>
  <c r="G109" i="17"/>
  <c r="G108" i="17"/>
  <c r="G107" i="17"/>
  <c r="G106" i="17"/>
  <c r="G105" i="17"/>
  <c r="G104" i="17"/>
  <c r="G103" i="17"/>
  <c r="G102" i="17"/>
  <c r="G101" i="17"/>
  <c r="G100" i="17"/>
  <c r="G99" i="17"/>
  <c r="G98" i="17"/>
  <c r="G97" i="17"/>
  <c r="G96" i="17"/>
  <c r="G95" i="17"/>
  <c r="G94" i="17"/>
  <c r="G93" i="17"/>
  <c r="G92" i="17"/>
  <c r="G91" i="17"/>
  <c r="G90" i="17"/>
  <c r="G89" i="17"/>
  <c r="G88" i="17"/>
  <c r="G87" i="17"/>
  <c r="G86" i="17"/>
  <c r="G85" i="17"/>
  <c r="G84" i="17"/>
  <c r="G83" i="17"/>
  <c r="G82" i="17"/>
  <c r="G81" i="17"/>
  <c r="G80" i="17"/>
  <c r="G79" i="17"/>
  <c r="G78" i="17"/>
  <c r="G77" i="17"/>
  <c r="G76" i="17"/>
  <c r="G75" i="17"/>
  <c r="G74" i="17"/>
  <c r="G73" i="17"/>
  <c r="G72" i="17"/>
  <c r="G71" i="17"/>
  <c r="G70" i="17"/>
  <c r="G69" i="17"/>
  <c r="G68" i="17"/>
  <c r="G67" i="17"/>
  <c r="G66" i="17"/>
  <c r="G65" i="17"/>
  <c r="G64" i="17"/>
  <c r="G63" i="17"/>
  <c r="G62" i="17"/>
  <c r="G61" i="17"/>
  <c r="G60" i="17"/>
  <c r="G59" i="17"/>
  <c r="G58" i="17"/>
  <c r="G57" i="17"/>
  <c r="G56" i="17"/>
  <c r="G55" i="17"/>
  <c r="G54" i="17"/>
  <c r="G53" i="17"/>
  <c r="G52" i="17"/>
  <c r="G51" i="17"/>
  <c r="G50" i="17"/>
  <c r="G49" i="17"/>
  <c r="G48" i="17"/>
  <c r="G47" i="17"/>
  <c r="G46" i="17"/>
  <c r="G45" i="17"/>
  <c r="G44" i="17"/>
  <c r="G43" i="17"/>
  <c r="G42" i="17"/>
  <c r="G41" i="17"/>
  <c r="G40" i="17"/>
  <c r="G39" i="17"/>
  <c r="G38" i="17"/>
  <c r="G37" i="17"/>
  <c r="G36" i="17"/>
  <c r="G35" i="17"/>
  <c r="G34" i="17"/>
  <c r="G33" i="17"/>
  <c r="G32" i="17"/>
  <c r="G31" i="17"/>
  <c r="G30" i="17"/>
  <c r="G29" i="17"/>
  <c r="G28" i="17"/>
  <c r="G27" i="17"/>
  <c r="G26" i="17"/>
  <c r="G25" i="17"/>
  <c r="G24" i="17"/>
  <c r="G23" i="17"/>
  <c r="G22" i="17"/>
  <c r="G21" i="17"/>
  <c r="G20" i="17"/>
  <c r="G19" i="17"/>
  <c r="G18" i="17"/>
  <c r="G17" i="17"/>
  <c r="G16" i="17"/>
  <c r="G15" i="17"/>
  <c r="G14" i="17"/>
  <c r="G13" i="17"/>
  <c r="G12" i="17"/>
  <c r="G11" i="17"/>
  <c r="G10" i="17"/>
  <c r="G9" i="17"/>
  <c r="G8" i="17"/>
  <c r="G7" i="17"/>
  <c r="G6" i="17"/>
  <c r="G5" i="17"/>
  <c r="G4" i="17"/>
  <c r="G3" i="17"/>
  <c r="F79" i="16"/>
  <c r="F78" i="16"/>
  <c r="F77" i="16"/>
  <c r="F76" i="16"/>
  <c r="F75" i="16"/>
  <c r="F74" i="16"/>
  <c r="F73" i="16"/>
  <c r="F72" i="16"/>
  <c r="F71" i="16"/>
  <c r="F70" i="16"/>
  <c r="F69" i="16"/>
  <c r="F68" i="16"/>
  <c r="F67" i="16"/>
  <c r="F66" i="16"/>
  <c r="F65" i="16"/>
  <c r="F64" i="16"/>
  <c r="F63" i="16"/>
  <c r="F62" i="16"/>
  <c r="F61" i="16"/>
  <c r="F60" i="16"/>
  <c r="F59" i="16"/>
  <c r="F58" i="16"/>
  <c r="F57" i="16"/>
  <c r="F56" i="16"/>
  <c r="F55" i="16"/>
  <c r="F54" i="16"/>
  <c r="F53" i="16"/>
  <c r="F52" i="16"/>
  <c r="F51" i="16"/>
  <c r="F50" i="16"/>
  <c r="F49" i="16"/>
  <c r="F48" i="16"/>
  <c r="F47" i="16"/>
  <c r="F46" i="16"/>
  <c r="F45" i="16"/>
  <c r="F44" i="16"/>
  <c r="CT5" i="15" l="1"/>
  <c r="CT25" i="15"/>
  <c r="CT15" i="15"/>
  <c r="CT24" i="15"/>
  <c r="CT14" i="15"/>
  <c r="CT4" i="15"/>
  <c r="J64" i="20"/>
  <c r="J65" i="20"/>
  <c r="J66" i="20"/>
  <c r="J67" i="20"/>
  <c r="J68" i="20"/>
  <c r="I25" i="20"/>
  <c r="K25" i="20"/>
  <c r="I26" i="20"/>
  <c r="K26" i="20"/>
  <c r="I27" i="20"/>
  <c r="K27" i="20"/>
  <c r="I28" i="20"/>
  <c r="K28" i="20"/>
  <c r="I29" i="20"/>
  <c r="K29" i="20"/>
  <c r="I103" i="20"/>
  <c r="K103" i="20"/>
  <c r="I104" i="20"/>
  <c r="K104" i="20"/>
  <c r="I105" i="20"/>
  <c r="K105" i="20"/>
  <c r="I106" i="20"/>
  <c r="K106" i="20"/>
  <c r="I107" i="20"/>
  <c r="K107" i="20"/>
  <c r="H25" i="20"/>
  <c r="J25" i="20"/>
  <c r="H26" i="20"/>
  <c r="J26" i="20"/>
  <c r="H27" i="20"/>
  <c r="J27" i="20"/>
  <c r="H28" i="20"/>
  <c r="J28" i="20"/>
  <c r="H29" i="20"/>
  <c r="I64" i="20"/>
  <c r="K64" i="20"/>
  <c r="I65" i="20"/>
  <c r="K65" i="20"/>
  <c r="I66" i="20"/>
  <c r="K66" i="20"/>
  <c r="I67" i="20"/>
  <c r="K67" i="20"/>
  <c r="I68" i="20"/>
  <c r="H103" i="20"/>
  <c r="J103" i="20"/>
  <c r="H104" i="20"/>
  <c r="J104" i="20"/>
  <c r="H105" i="20"/>
  <c r="J105" i="20"/>
  <c r="H106" i="20"/>
  <c r="J106" i="20"/>
  <c r="H107" i="20"/>
  <c r="I106" i="16"/>
  <c r="K106" i="16"/>
  <c r="I107" i="16"/>
  <c r="K107" i="16"/>
  <c r="I108" i="16"/>
  <c r="K108" i="16"/>
  <c r="I109" i="16"/>
  <c r="K109" i="16"/>
  <c r="I110" i="16"/>
  <c r="I66" i="16"/>
  <c r="K66" i="16"/>
  <c r="I67" i="16"/>
  <c r="K67" i="16"/>
  <c r="I68" i="16"/>
  <c r="K68" i="16"/>
  <c r="I69" i="16"/>
  <c r="K69" i="16"/>
  <c r="I70" i="16"/>
  <c r="K30" i="16"/>
  <c r="I30" i="16"/>
  <c r="K29" i="16"/>
  <c r="I29" i="16"/>
  <c r="K28" i="16"/>
  <c r="I28" i="16"/>
  <c r="K27" i="16"/>
  <c r="I27" i="16"/>
  <c r="K26" i="16"/>
  <c r="I26" i="16"/>
  <c r="J30" i="16"/>
  <c r="H30" i="16"/>
  <c r="J29" i="16"/>
  <c r="H29" i="16"/>
  <c r="J28" i="16"/>
  <c r="H28" i="16"/>
  <c r="J27" i="16"/>
  <c r="H27" i="16"/>
  <c r="J26" i="16"/>
  <c r="CT32" i="15" l="1"/>
  <c r="AB28" i="14" s="1"/>
  <c r="CT31" i="15"/>
  <c r="AB26" i="14" s="1"/>
  <c r="AB22" i="14"/>
  <c r="AA22" i="14"/>
  <c r="AB20" i="14"/>
  <c r="AA20" i="14"/>
  <c r="Z22" i="13" a="1"/>
  <c r="Z22" i="13" s="1"/>
  <c r="AA22" i="13"/>
  <c r="AA23" i="13"/>
  <c r="AA24" i="13"/>
  <c r="AA25" i="13"/>
  <c r="AA26" i="13"/>
  <c r="X22" i="13" a="1"/>
  <c r="X22" i="13"/>
  <c r="Y22" i="13"/>
  <c r="X23" i="13"/>
  <c r="Y23" i="13"/>
  <c r="X24" i="13"/>
  <c r="Y24" i="13"/>
  <c r="X25" i="13"/>
  <c r="Y25" i="13"/>
  <c r="X26" i="13"/>
  <c r="Y26" i="13"/>
  <c r="Z13" i="13" a="1"/>
  <c r="Z13" i="13"/>
  <c r="AA13" i="13"/>
  <c r="Z14" i="13"/>
  <c r="AA14" i="13"/>
  <c r="Z15" i="13"/>
  <c r="AA15" i="13"/>
  <c r="Z16" i="13"/>
  <c r="AA16" i="13"/>
  <c r="Z17" i="13"/>
  <c r="AA17" i="13"/>
  <c r="X13" i="13" a="1"/>
  <c r="X13" i="13" s="1"/>
  <c r="Y13" i="13"/>
  <c r="Y14" i="13"/>
  <c r="Y15" i="13"/>
  <c r="Y16" i="13"/>
  <c r="Y17" i="13"/>
  <c r="Z4" i="13" a="1"/>
  <c r="Z4" i="13"/>
  <c r="AA4" i="13"/>
  <c r="Z5" i="13"/>
  <c r="AA5" i="13"/>
  <c r="Z6" i="13"/>
  <c r="AA6" i="13"/>
  <c r="Z7" i="13"/>
  <c r="AA7" i="13"/>
  <c r="Z8" i="13"/>
  <c r="AA8" i="13"/>
  <c r="X4" i="13" a="1"/>
  <c r="X4" i="13"/>
  <c r="Y4" i="13"/>
  <c r="X5" i="13"/>
  <c r="Y5" i="13"/>
  <c r="X6" i="13"/>
  <c r="Y6" i="13"/>
  <c r="X7" i="13"/>
  <c r="Y7" i="13"/>
  <c r="X8" i="13"/>
  <c r="Y8" i="13"/>
  <c r="N26" i="13"/>
  <c r="M26" i="13"/>
  <c r="N25" i="13"/>
  <c r="M25" i="13"/>
  <c r="N24" i="13"/>
  <c r="M24" i="13"/>
  <c r="M17" i="13"/>
  <c r="N17" i="13" s="1"/>
  <c r="M16" i="13"/>
  <c r="N16" i="13" s="1"/>
  <c r="M15" i="13"/>
  <c r="N15" i="13" s="1"/>
  <c r="N8" i="13"/>
  <c r="N7" i="13"/>
  <c r="N6" i="13"/>
  <c r="M8" i="13"/>
  <c r="M7" i="13"/>
  <c r="M6" i="13"/>
  <c r="C33" i="14" l="1"/>
  <c r="C31" i="14"/>
  <c r="AA41" i="14" s="1"/>
  <c r="Z26" i="13"/>
  <c r="Z25" i="13"/>
  <c r="Z24" i="13"/>
  <c r="Z23" i="13"/>
  <c r="X17" i="13"/>
  <c r="X16" i="13"/>
  <c r="X15" i="13"/>
  <c r="X14" i="13"/>
  <c r="AB33" i="14" l="1"/>
  <c r="AB34" i="14"/>
  <c r="AB41" i="14"/>
  <c r="AA29" i="14"/>
  <c r="AA28" i="14"/>
  <c r="AB18" i="14"/>
  <c r="AA18" i="14"/>
  <c r="C29" i="14" s="1"/>
  <c r="AB16" i="14"/>
  <c r="AA16" i="14"/>
  <c r="C27" i="14" l="1"/>
  <c r="AA40" i="14" s="1"/>
  <c r="AB36" i="14"/>
  <c r="AB35" i="14" s="1"/>
  <c r="AB40" i="14"/>
  <c r="AH22" i="13" a="1"/>
  <c r="AI26" i="13" s="1"/>
  <c r="AF26" i="13"/>
  <c r="AF25" i="13"/>
  <c r="AF24" i="13"/>
  <c r="AF23" i="13"/>
  <c r="AF22" i="13"/>
  <c r="AF22" i="13" a="1"/>
  <c r="AG26" i="13" s="1"/>
  <c r="AH13" i="13" a="1"/>
  <c r="AI17" i="13" s="1"/>
  <c r="AF17" i="13"/>
  <c r="AF16" i="13"/>
  <c r="AF15" i="13"/>
  <c r="AF14" i="13"/>
  <c r="AF13" i="13"/>
  <c r="AF13" i="13" a="1"/>
  <c r="AG17" i="13" s="1"/>
  <c r="AH4" i="13" a="1"/>
  <c r="AH4" i="13" s="1"/>
  <c r="AI4" i="13"/>
  <c r="AI5" i="13"/>
  <c r="AI6" i="13"/>
  <c r="AI7" i="13"/>
  <c r="AI8" i="13"/>
  <c r="AF4" i="13" a="1"/>
  <c r="AF4" i="13"/>
  <c r="AG4" i="13"/>
  <c r="AF5" i="13"/>
  <c r="AG5" i="13"/>
  <c r="AF6" i="13"/>
  <c r="AG6" i="13"/>
  <c r="AF7" i="13"/>
  <c r="AG7" i="13"/>
  <c r="AF8" i="13"/>
  <c r="AG8" i="13"/>
  <c r="AD22" i="13" a="1"/>
  <c r="AD26" i="13" s="1"/>
  <c r="AB26" i="13"/>
  <c r="AB25" i="13"/>
  <c r="AB24" i="13"/>
  <c r="AB23" i="13"/>
  <c r="AB22" i="13"/>
  <c r="AB22" i="13" a="1"/>
  <c r="AC26" i="13" s="1"/>
  <c r="AD13" i="13" a="1"/>
  <c r="AD17" i="13" s="1"/>
  <c r="AB17" i="13"/>
  <c r="AB16" i="13"/>
  <c r="AB15" i="13"/>
  <c r="AB14" i="13"/>
  <c r="AB13" i="13"/>
  <c r="AB13" i="13" a="1"/>
  <c r="AC17" i="13" s="1"/>
  <c r="AD4" i="13" a="1"/>
  <c r="AD4" i="13" s="1"/>
  <c r="AE4" i="13"/>
  <c r="AE5" i="13"/>
  <c r="AE6" i="13"/>
  <c r="AE7" i="13"/>
  <c r="AE8" i="13"/>
  <c r="AB4" i="13" a="1"/>
  <c r="AB4" i="13"/>
  <c r="AC4" i="13"/>
  <c r="AB5" i="13"/>
  <c r="AC5" i="13"/>
  <c r="AB6" i="13"/>
  <c r="AC6" i="13"/>
  <c r="AB7" i="13"/>
  <c r="AC7" i="13"/>
  <c r="AB8" i="13"/>
  <c r="AC8" i="13"/>
  <c r="V26" i="13"/>
  <c r="V25" i="13"/>
  <c r="V24" i="13"/>
  <c r="V23" i="13"/>
  <c r="V22" i="13"/>
  <c r="V22" i="13" a="1"/>
  <c r="W26" i="13" s="1"/>
  <c r="V13" i="13" a="1"/>
  <c r="V17" i="13" s="1"/>
  <c r="V4" i="13" a="1"/>
  <c r="V4" i="13"/>
  <c r="W4" i="13"/>
  <c r="V5" i="13"/>
  <c r="W5" i="13"/>
  <c r="V6" i="13"/>
  <c r="W6" i="13"/>
  <c r="V7" i="13"/>
  <c r="W7" i="13"/>
  <c r="V8" i="13"/>
  <c r="W8" i="13"/>
  <c r="T22" i="13" a="1"/>
  <c r="T26" i="13" s="1"/>
  <c r="T17" i="13"/>
  <c r="T16" i="13"/>
  <c r="T15" i="13"/>
  <c r="T14" i="13"/>
  <c r="T13" i="13"/>
  <c r="T13" i="13" a="1"/>
  <c r="U17" i="13" s="1"/>
  <c r="T4" i="13" a="1"/>
  <c r="T4" i="13" s="1"/>
  <c r="U4" i="13"/>
  <c r="U5" i="13"/>
  <c r="U6" i="13"/>
  <c r="U7" i="13"/>
  <c r="U8" i="13"/>
  <c r="Q26" i="13"/>
  <c r="R26" i="13" s="1"/>
  <c r="Q25" i="13"/>
  <c r="R25" i="13" s="1"/>
  <c r="Q24" i="13"/>
  <c r="R24" i="13" s="1"/>
  <c r="Q17" i="13"/>
  <c r="R17" i="13" s="1"/>
  <c r="Q16" i="13"/>
  <c r="R16" i="13" s="1"/>
  <c r="Q15" i="13"/>
  <c r="R15" i="13" s="1"/>
  <c r="Q8" i="13"/>
  <c r="R8" i="13" s="1"/>
  <c r="Q7" i="13"/>
  <c r="R7" i="13" s="1"/>
  <c r="Q6" i="13"/>
  <c r="R6" i="13" s="1"/>
  <c r="O26" i="13"/>
  <c r="O25" i="13"/>
  <c r="O24" i="13"/>
  <c r="K26" i="13"/>
  <c r="K25" i="13"/>
  <c r="K24" i="13"/>
  <c r="P26" i="13"/>
  <c r="P25" i="13"/>
  <c r="P24" i="13"/>
  <c r="O17" i="13"/>
  <c r="O16" i="13"/>
  <c r="O15" i="13"/>
  <c r="K17" i="13"/>
  <c r="K16" i="13"/>
  <c r="K15" i="13"/>
  <c r="P17" i="13"/>
  <c r="P16" i="13"/>
  <c r="P15" i="13"/>
  <c r="O8" i="13"/>
  <c r="O7" i="13"/>
  <c r="O6" i="13"/>
  <c r="K8" i="13"/>
  <c r="K7" i="13"/>
  <c r="K6" i="13"/>
  <c r="P8" i="13"/>
  <c r="P7" i="13"/>
  <c r="P6" i="13"/>
  <c r="L26" i="13"/>
  <c r="L25" i="13"/>
  <c r="L24" i="13"/>
  <c r="L17" i="13"/>
  <c r="L16" i="13"/>
  <c r="AA33" i="14" l="1"/>
  <c r="C37" i="14"/>
  <c r="AA34" i="14"/>
  <c r="C39" i="14"/>
  <c r="AA27" i="14"/>
  <c r="AA26" i="14"/>
  <c r="AH8" i="13"/>
  <c r="AH7" i="13"/>
  <c r="AH6" i="13"/>
  <c r="AH5" i="13"/>
  <c r="AG13" i="13"/>
  <c r="AG14" i="13"/>
  <c r="AG15" i="13"/>
  <c r="AG16" i="13"/>
  <c r="AH13" i="13"/>
  <c r="AH14" i="13"/>
  <c r="AH15" i="13"/>
  <c r="AH16" i="13"/>
  <c r="AH17" i="13"/>
  <c r="AG22" i="13"/>
  <c r="AG23" i="13"/>
  <c r="AG24" i="13"/>
  <c r="AG25" i="13"/>
  <c r="AH22" i="13"/>
  <c r="AH23" i="13"/>
  <c r="AH24" i="13"/>
  <c r="AH25" i="13"/>
  <c r="AH26" i="13"/>
  <c r="AI13" i="13"/>
  <c r="AI14" i="13"/>
  <c r="AI15" i="13"/>
  <c r="AI16" i="13"/>
  <c r="AI22" i="13"/>
  <c r="AI23" i="13"/>
  <c r="AI24" i="13"/>
  <c r="AI25" i="13"/>
  <c r="AE13" i="13"/>
  <c r="AE14" i="13"/>
  <c r="AE15" i="13"/>
  <c r="AE16" i="13"/>
  <c r="AE17" i="13"/>
  <c r="AE22" i="13"/>
  <c r="AE23" i="13"/>
  <c r="AE24" i="13"/>
  <c r="AE25" i="13"/>
  <c r="AE26" i="13"/>
  <c r="AD8" i="13"/>
  <c r="AD7" i="13"/>
  <c r="AD6" i="13"/>
  <c r="AD5" i="13"/>
  <c r="AC13" i="13"/>
  <c r="AC14" i="13"/>
  <c r="AC15" i="13"/>
  <c r="AC16" i="13"/>
  <c r="AD13" i="13"/>
  <c r="AD14" i="13"/>
  <c r="AD15" i="13"/>
  <c r="AD16" i="13"/>
  <c r="AC22" i="13"/>
  <c r="AC23" i="13"/>
  <c r="AC24" i="13"/>
  <c r="AC25" i="13"/>
  <c r="AD22" i="13"/>
  <c r="AD23" i="13"/>
  <c r="AD24" i="13"/>
  <c r="AD25" i="13"/>
  <c r="W13" i="13"/>
  <c r="W14" i="13"/>
  <c r="W15" i="13"/>
  <c r="W16" i="13"/>
  <c r="W17" i="13"/>
  <c r="V13" i="13"/>
  <c r="V14" i="13"/>
  <c r="V15" i="13"/>
  <c r="V16" i="13"/>
  <c r="W22" i="13"/>
  <c r="W23" i="13"/>
  <c r="W24" i="13"/>
  <c r="W25" i="13"/>
  <c r="U22" i="13"/>
  <c r="U23" i="13"/>
  <c r="U24" i="13"/>
  <c r="U25" i="13"/>
  <c r="U26" i="13"/>
  <c r="T8" i="13"/>
  <c r="T7" i="13"/>
  <c r="T6" i="13"/>
  <c r="T5" i="13"/>
  <c r="U13" i="13"/>
  <c r="U14" i="13"/>
  <c r="U15" i="13"/>
  <c r="U16" i="13"/>
  <c r="T22" i="13"/>
  <c r="T23" i="13"/>
  <c r="T24" i="13"/>
  <c r="T25" i="13"/>
  <c r="L8" i="13"/>
  <c r="L7" i="13"/>
  <c r="L15" i="13"/>
  <c r="L6" i="13"/>
  <c r="C41" i="14" l="1"/>
  <c r="AF11" i="14" s="1"/>
  <c r="AA36" i="14"/>
  <c r="AA35" i="14" s="1"/>
  <c r="AF15" i="14" l="1"/>
  <c r="AF13" i="14"/>
  <c r="AF19" i="14" s="1"/>
  <c r="AF21" i="14" s="1"/>
</calcChain>
</file>

<file path=xl/comments1.xml><?xml version="1.0" encoding="utf-8"?>
<comments xmlns="http://schemas.openxmlformats.org/spreadsheetml/2006/main">
  <authors>
    <author>Claus Martin Hvenegaard</author>
  </authors>
  <commentList>
    <comment ref="C7" authorId="0" shapeId="0">
      <text>
        <r>
          <rPr>
            <sz val="9"/>
            <color indexed="81"/>
            <rFont val="Tahoma"/>
            <family val="2"/>
          </rPr>
          <t xml:space="preserve">Indsæt husholdningens årlige elforbrug. Skal ligge mellem 3.000 kWh og 8.000 kWh
</t>
        </r>
      </text>
    </comment>
    <comment ref="C9" authorId="0" shapeId="0">
      <text>
        <r>
          <rPr>
            <sz val="9"/>
            <color indexed="81"/>
            <rFont val="Tahoma"/>
            <family val="2"/>
          </rPr>
          <t xml:space="preserve">Indsæt husholdningens årlige elforbrug til elvarme eller varmepumpe. Skal ligge mellem 6.000 kWh og 10.000 kWh
</t>
        </r>
      </text>
    </comment>
    <comment ref="C17" authorId="0" shapeId="0">
      <text>
        <r>
          <rPr>
            <sz val="9"/>
            <color indexed="81"/>
            <rFont val="Tahoma"/>
            <family val="2"/>
          </rPr>
          <t xml:space="preserve">Her indtastes gennemsnit salgspris for solcelle el. 
Der kan anfgives følgende priser afhængig af etableringsår:
- 2016: 0,88 kr./kWh
- 2017: 0,77 kr./kWh
- 2018 eller senere: 0,6 kr./kWh
</t>
        </r>
      </text>
    </comment>
    <comment ref="C19" authorId="0" shapeId="0">
      <text>
        <r>
          <rPr>
            <sz val="9"/>
            <color indexed="81"/>
            <rFont val="Tahoma"/>
            <family val="2"/>
          </rPr>
          <t xml:space="preserve">Instast gennemsnit købspris for husholdnings el og el til varme
</t>
        </r>
      </text>
    </comment>
    <comment ref="C41" authorId="0" shapeId="0">
      <text>
        <r>
          <rPr>
            <sz val="9"/>
            <color indexed="81"/>
            <rFont val="Tahoma"/>
            <family val="2"/>
          </rPr>
          <t xml:space="preserve">10 år er den typiske levetid for batteripakken og den tid hvor elsalgsprisen er kendt
</t>
        </r>
      </text>
    </comment>
    <comment ref="C43" authorId="0" shapeId="0">
      <text>
        <r>
          <rPr>
            <sz val="9"/>
            <color indexed="81"/>
            <rFont val="Tahoma"/>
            <family val="2"/>
          </rPr>
          <t xml:space="preserve">Indtast mer-investeringen for batterilager. Typisk 5.000 kr. pr. kWh batterilager
</t>
        </r>
      </text>
    </comment>
  </commentList>
</comments>
</file>

<file path=xl/sharedStrings.xml><?xml version="1.0" encoding="utf-8"?>
<sst xmlns="http://schemas.openxmlformats.org/spreadsheetml/2006/main" count="1012" uniqueCount="103">
  <si>
    <t>0 kWh</t>
  </si>
  <si>
    <t>5 kWh</t>
  </si>
  <si>
    <t>10 kWh</t>
  </si>
  <si>
    <t>3 kW solcelleanlæg</t>
  </si>
  <si>
    <t>Elsalg</t>
  </si>
  <si>
    <t>Elkøb</t>
  </si>
  <si>
    <t>4 kW solcelleanlæg</t>
  </si>
  <si>
    <t>6 kW solcelleanlæg</t>
  </si>
  <si>
    <t>Elforbrug</t>
  </si>
  <si>
    <t>kWh</t>
  </si>
  <si>
    <t>Eget forbrug (m. batteri)</t>
  </si>
  <si>
    <t>E.F. andel (m. batteri)</t>
  </si>
  <si>
    <t>Eget forbrug</t>
  </si>
  <si>
    <t>E.F. andel</t>
  </si>
  <si>
    <t>Solcelleanlæg</t>
  </si>
  <si>
    <t>kW</t>
  </si>
  <si>
    <t>Batteri</t>
  </si>
  <si>
    <t>Inddata</t>
  </si>
  <si>
    <t>Solceller</t>
  </si>
  <si>
    <t>Intet</t>
  </si>
  <si>
    <t>Resultat</t>
  </si>
  <si>
    <t>Elsalg m. batteri</t>
  </si>
  <si>
    <t>Elkøb m. batteri</t>
  </si>
  <si>
    <t>kr./kWh</t>
  </si>
  <si>
    <t>Besparelse - elsalg</t>
  </si>
  <si>
    <t>Besparelse - elkøb</t>
  </si>
  <si>
    <t>Økonomi</t>
  </si>
  <si>
    <t>kr.</t>
  </si>
  <si>
    <t>Elkøb og -salg</t>
  </si>
  <si>
    <t>2 kWh</t>
  </si>
  <si>
    <t>6000 kWh</t>
  </si>
  <si>
    <t>8000 kWh</t>
  </si>
  <si>
    <t>10000 kWh</t>
  </si>
  <si>
    <t>Elvarme</t>
  </si>
  <si>
    <t>RESUMEOUTPUT</t>
  </si>
  <si>
    <t>Regressionsstatistik</t>
  </si>
  <si>
    <t>Multipel R</t>
  </si>
  <si>
    <t>R-kvadreret</t>
  </si>
  <si>
    <t>Justeret R-kvadreret</t>
  </si>
  <si>
    <t>Standardfejl</t>
  </si>
  <si>
    <t>Observationer</t>
  </si>
  <si>
    <t>ANAVA</t>
  </si>
  <si>
    <t>Regression</t>
  </si>
  <si>
    <t>Residual</t>
  </si>
  <si>
    <t>I alt</t>
  </si>
  <si>
    <t>Skæring</t>
  </si>
  <si>
    <t>fg</t>
  </si>
  <si>
    <t>SK</t>
  </si>
  <si>
    <t>MK</t>
  </si>
  <si>
    <t>F</t>
  </si>
  <si>
    <t>Signifikans F</t>
  </si>
  <si>
    <t>Koefficienter</t>
  </si>
  <si>
    <t>t-stat</t>
  </si>
  <si>
    <t>P-værdi</t>
  </si>
  <si>
    <t>Nedre 95%</t>
  </si>
  <si>
    <t>Øvre 95%</t>
  </si>
  <si>
    <t>Nedre 95,0%</t>
  </si>
  <si>
    <t>Øvre 95,0%</t>
  </si>
  <si>
    <t>X-variabel 1</t>
  </si>
  <si>
    <t>X-variabel 2</t>
  </si>
  <si>
    <t>X-variabel 3</t>
  </si>
  <si>
    <t>Solcelle</t>
  </si>
  <si>
    <t>X-variabel 4</t>
  </si>
  <si>
    <t>Elkøb_beregn</t>
  </si>
  <si>
    <t>Afvigelse</t>
  </si>
  <si>
    <t>Elsalg_beregn</t>
  </si>
  <si>
    <t>0 kWh batteri</t>
  </si>
  <si>
    <t>2 kWh batteri</t>
  </si>
  <si>
    <t>5 kWh batteri</t>
  </si>
  <si>
    <t>10 kWh batteri</t>
  </si>
  <si>
    <t>3 kW solceller</t>
  </si>
  <si>
    <t>4 kW solceller</t>
  </si>
  <si>
    <t>6 kW solceller</t>
  </si>
  <si>
    <t>Årligt elvarmeforbrug</t>
  </si>
  <si>
    <t>Årligt elforbrug, i alt</t>
  </si>
  <si>
    <t>Uden elv.</t>
  </si>
  <si>
    <t>Med elv.</t>
  </si>
  <si>
    <t>Elproduktion</t>
  </si>
  <si>
    <t>Med bat.</t>
  </si>
  <si>
    <t>Uden bat.</t>
  </si>
  <si>
    <t>Salg</t>
  </si>
  <si>
    <t>Køb</t>
  </si>
  <si>
    <t>Finansieringsrente [%]</t>
  </si>
  <si>
    <t>Levetid [år]</t>
  </si>
  <si>
    <t>Investering [kr.]</t>
  </si>
  <si>
    <t>Besparelse [kr.</t>
  </si>
  <si>
    <t>Tilbagebetalingstid [år]</t>
  </si>
  <si>
    <t>Rentabilitetsfaktor [-]</t>
  </si>
  <si>
    <t>Nutidsværdifaktor</t>
  </si>
  <si>
    <t>[%]</t>
  </si>
  <si>
    <t>Årlig besp. efter finansiering [kr.]</t>
  </si>
  <si>
    <t>Kontant</t>
  </si>
  <si>
    <t>Lån i banken</t>
  </si>
  <si>
    <t>Overslagsberegning af batterisystem til socelleanlæg</t>
  </si>
  <si>
    <t>Årligt elforbrug til husholdning</t>
  </si>
  <si>
    <t>Mer-investering</t>
  </si>
  <si>
    <t>Besparelse i alt i 10 år</t>
  </si>
  <si>
    <t>kWh/år</t>
  </si>
  <si>
    <t>kr./år</t>
  </si>
  <si>
    <t>kr./10 år</t>
  </si>
  <si>
    <t>Elpris - salg (gennemsnit)</t>
  </si>
  <si>
    <t>Elpris - køb (gennemsnit)</t>
  </si>
  <si>
    <t>Direkte brugt fra PV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</si>
</sst>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6" x14ac:knownFonts="1">
    <font>
      <sz val="10"/>
      <color theme="1"/>
      <name val="Verdana"/>
      <family val="2"/>
    </font>
    <font>
      <b/>
      <sz val="12"/>
      <color theme="1"/>
      <name val="Verdana"/>
      <family val="2"/>
    </font>
    <font>
      <b/>
      <sz val="10"/>
      <color theme="1"/>
      <name val="Verdana"/>
      <family val="2"/>
    </font>
    <font>
      <i/>
      <sz val="10"/>
      <color theme="1"/>
      <name val="Verdana"/>
      <family val="2"/>
    </font>
    <font>
      <sz val="9"/>
      <color indexed="81"/>
      <name val="Tahoma"/>
      <family val="2"/>
    </font>
    <font>
      <b/>
      <sz val="18"/>
      <color theme="1"/>
      <name val="Verdana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8">
    <xf numFmtId="0" fontId="0" fillId="0" borderId="0" xfId="0"/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7" xfId="0" applyBorder="1"/>
    <xf numFmtId="0" fontId="0" fillId="0" borderId="8" xfId="0" applyBorder="1"/>
    <xf numFmtId="0" fontId="0" fillId="0" borderId="9" xfId="0" applyBorder="1"/>
    <xf numFmtId="164" fontId="0" fillId="0" borderId="3" xfId="0" applyNumberFormat="1" applyBorder="1"/>
    <xf numFmtId="164" fontId="0" fillId="0" borderId="4" xfId="0" applyNumberFormat="1" applyBorder="1"/>
    <xf numFmtId="164" fontId="0" fillId="0" borderId="5" xfId="0" applyNumberFormat="1" applyBorder="1"/>
    <xf numFmtId="164" fontId="0" fillId="0" borderId="6" xfId="0" applyNumberFormat="1" applyBorder="1"/>
    <xf numFmtId="164" fontId="0" fillId="0" borderId="0" xfId="0" applyNumberFormat="1" applyFill="1" applyBorder="1"/>
    <xf numFmtId="0" fontId="0" fillId="0" borderId="1" xfId="0" applyBorder="1"/>
    <xf numFmtId="0" fontId="0" fillId="0" borderId="2" xfId="0" applyBorder="1"/>
    <xf numFmtId="0" fontId="0" fillId="0" borderId="5" xfId="0" applyBorder="1"/>
    <xf numFmtId="0" fontId="0" fillId="0" borderId="6" xfId="0" applyBorder="1"/>
    <xf numFmtId="164" fontId="0" fillId="0" borderId="1" xfId="0" applyNumberFormat="1" applyBorder="1"/>
    <xf numFmtId="0" fontId="0" fillId="0" borderId="4" xfId="0" applyBorder="1"/>
    <xf numFmtId="0" fontId="0" fillId="0" borderId="10" xfId="0" applyBorder="1"/>
    <xf numFmtId="0" fontId="0" fillId="0" borderId="3" xfId="0" applyBorder="1"/>
    <xf numFmtId="0" fontId="0" fillId="0" borderId="0" xfId="0" applyBorder="1"/>
    <xf numFmtId="0" fontId="0" fillId="0" borderId="11" xfId="0" applyBorder="1"/>
    <xf numFmtId="0" fontId="0" fillId="0" borderId="12" xfId="0" applyBorder="1"/>
    <xf numFmtId="0" fontId="0" fillId="0" borderId="0" xfId="0" applyFill="1" applyBorder="1"/>
    <xf numFmtId="0" fontId="0" fillId="3" borderId="0" xfId="0" applyFill="1"/>
    <xf numFmtId="0" fontId="0" fillId="4" borderId="0" xfId="0" applyFill="1"/>
    <xf numFmtId="0" fontId="0" fillId="4" borderId="0" xfId="0" applyFill="1" applyAlignment="1">
      <alignment horizontal="right"/>
    </xf>
    <xf numFmtId="0" fontId="0" fillId="4" borderId="0" xfId="0" applyFill="1" applyBorder="1"/>
    <xf numFmtId="0" fontId="0" fillId="5" borderId="0" xfId="0" applyFill="1"/>
    <xf numFmtId="0" fontId="1" fillId="3" borderId="0" xfId="0" applyFont="1" applyFill="1"/>
    <xf numFmtId="0" fontId="1" fillId="6" borderId="0" xfId="0" applyFont="1" applyFill="1"/>
    <xf numFmtId="0" fontId="0" fillId="6" borderId="0" xfId="0" applyFill="1"/>
    <xf numFmtId="0" fontId="0" fillId="0" borderId="12" xfId="0" applyBorder="1" applyAlignment="1">
      <alignment horizontal="right"/>
    </xf>
    <xf numFmtId="0" fontId="0" fillId="7" borderId="0" xfId="0" applyFill="1"/>
    <xf numFmtId="0" fontId="0" fillId="7" borderId="0" xfId="0" applyFill="1" applyAlignment="1">
      <alignment horizontal="right"/>
    </xf>
    <xf numFmtId="164" fontId="0" fillId="0" borderId="0" xfId="0" applyNumberFormat="1"/>
    <xf numFmtId="0" fontId="2" fillId="4" borderId="0" xfId="0" applyFont="1" applyFill="1"/>
    <xf numFmtId="0" fontId="2" fillId="3" borderId="0" xfId="0" applyFont="1" applyFill="1"/>
    <xf numFmtId="164" fontId="0" fillId="0" borderId="0" xfId="0" applyNumberFormat="1" applyBorder="1"/>
    <xf numFmtId="164" fontId="0" fillId="0" borderId="11" xfId="0" applyNumberFormat="1" applyBorder="1"/>
    <xf numFmtId="0" fontId="0" fillId="0" borderId="10" xfId="0" applyBorder="1" applyAlignment="1">
      <alignment horizontal="center"/>
    </xf>
    <xf numFmtId="0" fontId="0" fillId="0" borderId="0" xfId="0" applyFill="1" applyBorder="1" applyAlignment="1"/>
    <xf numFmtId="0" fontId="0" fillId="0" borderId="13" xfId="0" applyFill="1" applyBorder="1" applyAlignment="1"/>
    <xf numFmtId="0" fontId="3" fillId="0" borderId="14" xfId="0" applyFont="1" applyFill="1" applyBorder="1" applyAlignment="1">
      <alignment horizontal="center"/>
    </xf>
    <xf numFmtId="0" fontId="3" fillId="0" borderId="14" xfId="0" applyFont="1" applyFill="1" applyBorder="1" applyAlignment="1">
      <alignment horizontal="centerContinuous"/>
    </xf>
    <xf numFmtId="0" fontId="3" fillId="0" borderId="0" xfId="0" applyFont="1" applyFill="1" applyBorder="1" applyAlignment="1">
      <alignment horizontal="centerContinuous"/>
    </xf>
    <xf numFmtId="0" fontId="3" fillId="0" borderId="0" xfId="0" applyFont="1" applyFill="1" applyBorder="1" applyAlignment="1">
      <alignment horizontal="center"/>
    </xf>
    <xf numFmtId="0" fontId="0" fillId="2" borderId="0" xfId="0" applyFill="1"/>
    <xf numFmtId="0" fontId="0" fillId="5" borderId="0" xfId="0" applyFill="1" applyAlignment="1">
      <alignment horizontal="right"/>
    </xf>
    <xf numFmtId="0" fontId="0" fillId="9" borderId="0" xfId="0" applyFill="1"/>
    <xf numFmtId="0" fontId="0" fillId="5" borderId="0" xfId="0" applyFill="1" applyBorder="1"/>
    <xf numFmtId="0" fontId="0" fillId="10" borderId="0" xfId="0" applyFill="1"/>
    <xf numFmtId="0" fontId="0" fillId="8" borderId="12" xfId="0" applyFill="1" applyBorder="1"/>
    <xf numFmtId="3" fontId="0" fillId="0" borderId="0" xfId="0" applyNumberFormat="1"/>
    <xf numFmtId="2" fontId="0" fillId="0" borderId="0" xfId="0" applyNumberFormat="1"/>
    <xf numFmtId="3" fontId="0" fillId="6" borderId="12" xfId="0" applyNumberFormat="1" applyFill="1" applyBorder="1"/>
    <xf numFmtId="3" fontId="2" fillId="8" borderId="12" xfId="0" applyNumberFormat="1" applyFont="1" applyFill="1" applyBorder="1"/>
    <xf numFmtId="0" fontId="0" fillId="2" borderId="12" xfId="0" applyFill="1" applyBorder="1" applyProtection="1">
      <protection locked="0"/>
    </xf>
    <xf numFmtId="3" fontId="2" fillId="2" borderId="12" xfId="0" applyNumberFormat="1" applyFont="1" applyFill="1" applyBorder="1" applyProtection="1">
      <protection locked="0"/>
    </xf>
    <xf numFmtId="0" fontId="0" fillId="0" borderId="12" xfId="0" applyBorder="1" applyProtection="1">
      <protection locked="0"/>
    </xf>
    <xf numFmtId="0" fontId="0" fillId="0" borderId="0" xfId="0" applyProtection="1">
      <protection locked="0"/>
    </xf>
    <xf numFmtId="0" fontId="5" fillId="5" borderId="0" xfId="0" applyFont="1" applyFill="1"/>
    <xf numFmtId="0" fontId="2" fillId="5" borderId="0" xfId="0" applyFont="1" applyFill="1"/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Border="1" applyAlignment="1">
      <alignment horizontal="center"/>
    </xf>
  </cellXfs>
  <cellStyles count="1">
    <cellStyle name="Normal" xfId="0" builtinId="0"/>
  </cellStyles>
  <dxfs count="9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Inddata!$AA$32</c:f>
              <c:strCache>
                <c:ptCount val="1"/>
                <c:pt idx="0">
                  <c:v>Uden bat.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</c:dPt>
          <c:dPt>
            <c:idx val="1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</c:dPt>
          <c:dPt>
            <c:idx val="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</c:dPt>
          <c:dPt>
            <c:idx val="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</c:dPt>
          <c:cat>
            <c:strRef>
              <c:f>Inddata!$Z$33:$Z$36</c:f>
              <c:strCache>
                <c:ptCount val="4"/>
                <c:pt idx="0">
                  <c:v>Elsalg</c:v>
                </c:pt>
                <c:pt idx="1">
                  <c:v>Elkøb</c:v>
                </c:pt>
                <c:pt idx="2">
                  <c:v>Direkte brugt fra PV</c:v>
                </c:pt>
                <c:pt idx="3">
                  <c:v>Elproduktion</c:v>
                </c:pt>
              </c:strCache>
            </c:strRef>
          </c:cat>
          <c:val>
            <c:numRef>
              <c:f>Inddata!$AA$33:$AA$36</c:f>
              <c:numCache>
                <c:formatCode>0.0</c:formatCode>
                <c:ptCount val="4"/>
                <c:pt idx="0">
                  <c:v>4600.2156837777729</c:v>
                </c:pt>
                <c:pt idx="1">
                  <c:v>3381.0506186214243</c:v>
                </c:pt>
                <c:pt idx="2">
                  <c:v>1618.9493813785757</c:v>
                </c:pt>
                <c:pt idx="3">
                  <c:v>6219.1650651563486</c:v>
                </c:pt>
              </c:numCache>
            </c:numRef>
          </c:val>
        </c:ser>
        <c:ser>
          <c:idx val="1"/>
          <c:order val="1"/>
          <c:tx>
            <c:strRef>
              <c:f>Inddata!$AB$32</c:f>
              <c:strCache>
                <c:ptCount val="1"/>
                <c:pt idx="0">
                  <c:v>Med bat.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</c:dPt>
          <c:dPt>
            <c:idx val="2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</c:dPt>
          <c:cat>
            <c:strRef>
              <c:f>Inddata!$Z$33:$Z$36</c:f>
              <c:strCache>
                <c:ptCount val="4"/>
                <c:pt idx="0">
                  <c:v>Elsalg</c:v>
                </c:pt>
                <c:pt idx="1">
                  <c:v>Elkøb</c:v>
                </c:pt>
                <c:pt idx="2">
                  <c:v>Direkte brugt fra PV</c:v>
                </c:pt>
                <c:pt idx="3">
                  <c:v>Elproduktion</c:v>
                </c:pt>
              </c:strCache>
            </c:strRef>
          </c:cat>
          <c:val>
            <c:numRef>
              <c:f>Inddata!$AB$33:$AB$36</c:f>
              <c:numCache>
                <c:formatCode>0.0</c:formatCode>
                <c:ptCount val="4"/>
                <c:pt idx="0">
                  <c:v>4600.2156837777729</c:v>
                </c:pt>
                <c:pt idx="1">
                  <c:v>3381.0506186214243</c:v>
                </c:pt>
                <c:pt idx="2">
                  <c:v>1618.9493813785757</c:v>
                </c:pt>
                <c:pt idx="3">
                  <c:v>6219.1650651563486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36476472"/>
        <c:axId val="236477256"/>
      </c:barChart>
      <c:catAx>
        <c:axId val="236476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236477256"/>
        <c:crosses val="autoZero"/>
        <c:auto val="1"/>
        <c:lblAlgn val="ctr"/>
        <c:lblOffset val="100"/>
        <c:noMultiLvlLbl val="0"/>
      </c:catAx>
      <c:valAx>
        <c:axId val="236477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a-DK"/>
                  <a:t>kWh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a-DK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236476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a-DK"/>
              <a:t>Uden batteri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rgbClr val="00B050"/>
              </a:solidFill>
              <a:ln w="19050">
                <a:solidFill>
                  <a:schemeClr val="lt1"/>
                </a:solidFill>
              </a:ln>
              <a:effectLst/>
            </c:spPr>
          </c:dPt>
          <c:cat>
            <c:strRef>
              <c:f>Inddata!$Z$33:$Z$35</c:f>
              <c:strCache>
                <c:ptCount val="3"/>
                <c:pt idx="0">
                  <c:v>Elsalg</c:v>
                </c:pt>
                <c:pt idx="1">
                  <c:v>Elkøb</c:v>
                </c:pt>
                <c:pt idx="2">
                  <c:v>Direkte brugt fra PV</c:v>
                </c:pt>
              </c:strCache>
            </c:strRef>
          </c:cat>
          <c:val>
            <c:numRef>
              <c:f>Inddata!$AA$33:$AA$35</c:f>
              <c:numCache>
                <c:formatCode>0.0</c:formatCode>
                <c:ptCount val="3"/>
                <c:pt idx="0">
                  <c:v>4600.2156837777729</c:v>
                </c:pt>
                <c:pt idx="1">
                  <c:v>3381.0506186214243</c:v>
                </c:pt>
                <c:pt idx="2">
                  <c:v>1618.9493813785757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a-DK"/>
              <a:t>Med batteri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rgbClr val="00B050"/>
              </a:solidFill>
              <a:ln w="19050">
                <a:solidFill>
                  <a:schemeClr val="lt1"/>
                </a:solidFill>
              </a:ln>
              <a:effectLst/>
            </c:spPr>
          </c:dPt>
          <c:cat>
            <c:strRef>
              <c:f>Inddata!$Z$33:$Z$35</c:f>
              <c:strCache>
                <c:ptCount val="3"/>
                <c:pt idx="0">
                  <c:v>Elsalg</c:v>
                </c:pt>
                <c:pt idx="1">
                  <c:v>Elkøb</c:v>
                </c:pt>
                <c:pt idx="2">
                  <c:v>Direkte brugt fra PV</c:v>
                </c:pt>
              </c:strCache>
            </c:strRef>
          </c:cat>
          <c:val>
            <c:numRef>
              <c:f>Inddata!$AB$33:$AB$35</c:f>
              <c:numCache>
                <c:formatCode>0.0</c:formatCode>
                <c:ptCount val="3"/>
                <c:pt idx="0">
                  <c:v>4600.2156837777729</c:v>
                </c:pt>
                <c:pt idx="1">
                  <c:v>3381.0506186214243</c:v>
                </c:pt>
                <c:pt idx="2">
                  <c:v>1618.9493813785757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Beregn_elkøb_elv!$E$44:$E$79</c:f>
              <c:numCache>
                <c:formatCode>0.0</c:formatCode>
                <c:ptCount val="36"/>
                <c:pt idx="0">
                  <c:v>7669.0852285043029</c:v>
                </c:pt>
                <c:pt idx="1">
                  <c:v>9308.6530118936043</c:v>
                </c:pt>
                <c:pt idx="2">
                  <c:v>11002.366217686964</c:v>
                </c:pt>
                <c:pt idx="3">
                  <c:v>9381.8661848040283</c:v>
                </c:pt>
                <c:pt idx="4">
                  <c:v>11056.658166372918</c:v>
                </c:pt>
                <c:pt idx="5">
                  <c:v>12783.668262962996</c:v>
                </c:pt>
                <c:pt idx="6">
                  <c:v>11128.165185997983</c:v>
                </c:pt>
                <c:pt idx="7">
                  <c:v>12837.810857188495</c:v>
                </c:pt>
                <c:pt idx="8">
                  <c:v>14596.981325602423</c:v>
                </c:pt>
                <c:pt idx="9">
                  <c:v>7108.3081360191582</c:v>
                </c:pt>
                <c:pt idx="10">
                  <c:v>8784.7703820972147</c:v>
                </c:pt>
                <c:pt idx="11">
                  <c:v>10521.227667484354</c:v>
                </c:pt>
                <c:pt idx="12">
                  <c:v>8851.3475742598948</c:v>
                </c:pt>
                <c:pt idx="13">
                  <c:v>10569.45924998076</c:v>
                </c:pt>
                <c:pt idx="14">
                  <c:v>12342.878546685641</c:v>
                </c:pt>
                <c:pt idx="15">
                  <c:v>10634.934336206998</c:v>
                </c:pt>
                <c:pt idx="16">
                  <c:v>12390.062750717771</c:v>
                </c:pt>
                <c:pt idx="17">
                  <c:v>14197.961899387881</c:v>
                </c:pt>
                <c:pt idx="18">
                  <c:v>6589.3961991124243</c:v>
                </c:pt>
                <c:pt idx="19">
                  <c:v>8341.7168768751926</c:v>
                </c:pt>
                <c:pt idx="20">
                  <c:v>10153.992414681974</c:v>
                </c:pt>
                <c:pt idx="21">
                  <c:v>8394.8370560197345</c:v>
                </c:pt>
                <c:pt idx="22">
                  <c:v>10188.338446671356</c:v>
                </c:pt>
                <c:pt idx="23">
                  <c:v>12034.40018189209</c:v>
                </c:pt>
                <c:pt idx="24">
                  <c:v>10240.307973644683</c:v>
                </c:pt>
                <c:pt idx="25">
                  <c:v>12063.230797133045</c:v>
                </c:pt>
                <c:pt idx="26">
                  <c:v>13935.835228111393</c:v>
                </c:pt>
                <c:pt idx="27">
                  <c:v>6134.3338450291549</c:v>
                </c:pt>
                <c:pt idx="28">
                  <c:v>7955.8612482994777</c:v>
                </c:pt>
                <c:pt idx="29">
                  <c:v>9878.9899811855303</c:v>
                </c:pt>
                <c:pt idx="30">
                  <c:v>7993.2652513671119</c:v>
                </c:pt>
                <c:pt idx="31">
                  <c:v>9870.0425111455643</c:v>
                </c:pt>
                <c:pt idx="32">
                  <c:v>11811.972127886396</c:v>
                </c:pt>
                <c:pt idx="33">
                  <c:v>9883.8759380000392</c:v>
                </c:pt>
                <c:pt idx="34">
                  <c:v>11795.637408544408</c:v>
                </c:pt>
                <c:pt idx="35">
                  <c:v>13754.469210265555</c:v>
                </c:pt>
              </c:numCache>
            </c:numRef>
          </c:val>
          <c:smooth val="0"/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Beregn_elkøb_elv!$F$44:$F$79</c:f>
              <c:numCache>
                <c:formatCode>General</c:formatCode>
                <c:ptCount val="36"/>
                <c:pt idx="0">
                  <c:v>7302.417986746017</c:v>
                </c:pt>
                <c:pt idx="1">
                  <c:v>9094.2938265321718</c:v>
                </c:pt>
                <c:pt idx="2">
                  <c:v>10886.169666318325</c:v>
                </c:pt>
                <c:pt idx="3">
                  <c:v>9136.1918076598231</c:v>
                </c:pt>
                <c:pt idx="4">
                  <c:v>10928.067647445976</c:v>
                </c:pt>
                <c:pt idx="5">
                  <c:v>12719.943487232131</c:v>
                </c:pt>
                <c:pt idx="6">
                  <c:v>10969.965628573627</c:v>
                </c:pt>
                <c:pt idx="7">
                  <c:v>12761.841468359782</c:v>
                </c:pt>
                <c:pt idx="8">
                  <c:v>14553.717308145937</c:v>
                </c:pt>
                <c:pt idx="9">
                  <c:v>7077.2712203625324</c:v>
                </c:pt>
                <c:pt idx="10">
                  <c:v>8869.1470601486872</c:v>
                </c:pt>
                <c:pt idx="11">
                  <c:v>10661.02289993484</c:v>
                </c:pt>
                <c:pt idx="12">
                  <c:v>8911.0450412763366</c:v>
                </c:pt>
                <c:pt idx="13">
                  <c:v>10702.920881062491</c:v>
                </c:pt>
                <c:pt idx="14">
                  <c:v>12494.796720848646</c:v>
                </c:pt>
                <c:pt idx="15">
                  <c:v>10744.818862190143</c:v>
                </c:pt>
                <c:pt idx="16">
                  <c:v>12536.694701976297</c:v>
                </c:pt>
                <c:pt idx="17">
                  <c:v>14328.570541762452</c:v>
                </c:pt>
                <c:pt idx="18">
                  <c:v>6739.5510707873036</c:v>
                </c:pt>
                <c:pt idx="19">
                  <c:v>8531.4269105734584</c:v>
                </c:pt>
                <c:pt idx="20">
                  <c:v>10323.302750359613</c:v>
                </c:pt>
                <c:pt idx="21">
                  <c:v>8573.3248917011097</c:v>
                </c:pt>
                <c:pt idx="22">
                  <c:v>10365.200731487264</c:v>
                </c:pt>
                <c:pt idx="23">
                  <c:v>12157.076571273417</c:v>
                </c:pt>
                <c:pt idx="24">
                  <c:v>10407.098712614916</c:v>
                </c:pt>
                <c:pt idx="25">
                  <c:v>12198.974552401069</c:v>
                </c:pt>
                <c:pt idx="26">
                  <c:v>13990.850392187225</c:v>
                </c:pt>
                <c:pt idx="27">
                  <c:v>6176.684154828592</c:v>
                </c:pt>
                <c:pt idx="28">
                  <c:v>7968.5599946147449</c:v>
                </c:pt>
                <c:pt idx="29">
                  <c:v>9760.4358344009015</c:v>
                </c:pt>
                <c:pt idx="30">
                  <c:v>8010.4579757423962</c:v>
                </c:pt>
                <c:pt idx="31">
                  <c:v>9802.333815528551</c:v>
                </c:pt>
                <c:pt idx="32">
                  <c:v>11594.209655314706</c:v>
                </c:pt>
                <c:pt idx="33">
                  <c:v>9844.2317966562023</c:v>
                </c:pt>
                <c:pt idx="34">
                  <c:v>11636.107636442357</c:v>
                </c:pt>
                <c:pt idx="35">
                  <c:v>13427.983476228512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1851936"/>
        <c:axId val="240084344"/>
      </c:lineChart>
      <c:catAx>
        <c:axId val="2418519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240084344"/>
        <c:crosses val="autoZero"/>
        <c:auto val="1"/>
        <c:lblAlgn val="ctr"/>
        <c:lblOffset val="100"/>
        <c:noMultiLvlLbl val="0"/>
      </c:catAx>
      <c:valAx>
        <c:axId val="240084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241851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Beregn_2!$F$3:$F$110</c:f>
              <c:numCache>
                <c:formatCode>0.0</c:formatCode>
                <c:ptCount val="108"/>
                <c:pt idx="0">
                  <c:v>7915.9830274481355</c:v>
                </c:pt>
                <c:pt idx="1">
                  <c:v>9622.5054519872119</c:v>
                </c:pt>
                <c:pt idx="2">
                  <c:v>11392.519659800191</c:v>
                </c:pt>
                <c:pt idx="3">
                  <c:v>9686.2095297173819</c:v>
                </c:pt>
                <c:pt idx="4">
                  <c:v>11436.253195594994</c:v>
                </c:pt>
                <c:pt idx="5">
                  <c:v>13243.36630202517</c:v>
                </c:pt>
                <c:pt idx="6">
                  <c:v>11497.014896037868</c:v>
                </c:pt>
                <c:pt idx="7">
                  <c:v>13284.040611650027</c:v>
                </c:pt>
                <c:pt idx="8">
                  <c:v>15121.483999455366</c:v>
                </c:pt>
                <c:pt idx="9">
                  <c:v>7420.5621653987382</c:v>
                </c:pt>
                <c:pt idx="10">
                  <c:v>9196.476451298231</c:v>
                </c:pt>
                <c:pt idx="11">
                  <c:v>11038.465705256609</c:v>
                </c:pt>
                <c:pt idx="12">
                  <c:v>9247.5174772410555</c:v>
                </c:pt>
                <c:pt idx="13">
                  <c:v>11066.197569119458</c:v>
                </c:pt>
                <c:pt idx="14">
                  <c:v>12944.744882189356</c:v>
                </c:pt>
                <c:pt idx="15">
                  <c:v>11111.670774615912</c:v>
                </c:pt>
                <c:pt idx="16">
                  <c:v>12962.28507734511</c:v>
                </c:pt>
                <c:pt idx="17">
                  <c:v>14865.38480411976</c:v>
                </c:pt>
                <c:pt idx="18">
                  <c:v>7074.9911458217593</c:v>
                </c:pt>
                <c:pt idx="19">
                  <c:v>8949.3740306956588</c:v>
                </c:pt>
                <c:pt idx="20">
                  <c:v>10876.786626451338</c:v>
                </c:pt>
                <c:pt idx="21">
                  <c:v>8964.608437558376</c:v>
                </c:pt>
                <c:pt idx="22">
                  <c:v>10868.355666097223</c:v>
                </c:pt>
                <c:pt idx="23">
                  <c:v>12816.985693384602</c:v>
                </c:pt>
                <c:pt idx="24">
                  <c:v>10874.282939109096</c:v>
                </c:pt>
                <c:pt idx="25">
                  <c:v>12799.035179291932</c:v>
                </c:pt>
                <c:pt idx="26">
                  <c:v>14767.381876246654</c:v>
                </c:pt>
                <c:pt idx="27">
                  <c:v>6863.579527175254</c:v>
                </c:pt>
                <c:pt idx="28">
                  <c:v>8831.0754805049128</c:v>
                </c:pt>
                <c:pt idx="29">
                  <c:v>10833.229304822451</c:v>
                </c:pt>
                <c:pt idx="30">
                  <c:v>8800.4013357814274</c:v>
                </c:pt>
                <c:pt idx="31">
                  <c:v>10786.678970849423</c:v>
                </c:pt>
                <c:pt idx="32">
                  <c:v>12790.802056682471</c:v>
                </c:pt>
                <c:pt idx="33">
                  <c:v>10744.695619190257</c:v>
                </c:pt>
                <c:pt idx="34">
                  <c:v>12744.098761398345</c:v>
                </c:pt>
                <c:pt idx="35">
                  <c:v>14749.738361303331</c:v>
                </c:pt>
                <c:pt idx="36">
                  <c:v>7669.0852285043029</c:v>
                </c:pt>
                <c:pt idx="37">
                  <c:v>9308.6530118936043</c:v>
                </c:pt>
                <c:pt idx="38">
                  <c:v>11002.366217686964</c:v>
                </c:pt>
                <c:pt idx="39">
                  <c:v>9381.8661848040283</c:v>
                </c:pt>
                <c:pt idx="40">
                  <c:v>11056.658166372918</c:v>
                </c:pt>
                <c:pt idx="41">
                  <c:v>12783.668262962996</c:v>
                </c:pt>
                <c:pt idx="42">
                  <c:v>11128.165185997983</c:v>
                </c:pt>
                <c:pt idx="43">
                  <c:v>12837.810857188495</c:v>
                </c:pt>
                <c:pt idx="44">
                  <c:v>14596.981325602423</c:v>
                </c:pt>
                <c:pt idx="45">
                  <c:v>7108.3081360191582</c:v>
                </c:pt>
                <c:pt idx="46">
                  <c:v>8784.7703820972147</c:v>
                </c:pt>
                <c:pt idx="47">
                  <c:v>10521.227667484354</c:v>
                </c:pt>
                <c:pt idx="48">
                  <c:v>8851.3475742598948</c:v>
                </c:pt>
                <c:pt idx="49">
                  <c:v>10569.45924998076</c:v>
                </c:pt>
                <c:pt idx="50">
                  <c:v>12342.878546685641</c:v>
                </c:pt>
                <c:pt idx="51">
                  <c:v>10634.934336206998</c:v>
                </c:pt>
                <c:pt idx="52">
                  <c:v>12390.062750717771</c:v>
                </c:pt>
                <c:pt idx="53">
                  <c:v>14197.961899387881</c:v>
                </c:pt>
                <c:pt idx="54">
                  <c:v>6589.3961991124243</c:v>
                </c:pt>
                <c:pt idx="55">
                  <c:v>8341.7168768751926</c:v>
                </c:pt>
                <c:pt idx="56">
                  <c:v>10153.992414681974</c:v>
                </c:pt>
                <c:pt idx="57">
                  <c:v>8394.8370560197345</c:v>
                </c:pt>
                <c:pt idx="58">
                  <c:v>10188.338446671356</c:v>
                </c:pt>
                <c:pt idx="59">
                  <c:v>12034.40018189209</c:v>
                </c:pt>
                <c:pt idx="60">
                  <c:v>10240.307973644683</c:v>
                </c:pt>
                <c:pt idx="61">
                  <c:v>12063.230797133045</c:v>
                </c:pt>
                <c:pt idx="62">
                  <c:v>13935.835228111393</c:v>
                </c:pt>
                <c:pt idx="63">
                  <c:v>6134.3338450291549</c:v>
                </c:pt>
                <c:pt idx="64">
                  <c:v>7955.8612482994777</c:v>
                </c:pt>
                <c:pt idx="65">
                  <c:v>9878.9899811855303</c:v>
                </c:pt>
                <c:pt idx="66">
                  <c:v>7993.2652513671119</c:v>
                </c:pt>
                <c:pt idx="67">
                  <c:v>9870.0425111455643</c:v>
                </c:pt>
                <c:pt idx="68">
                  <c:v>11811.972127886396</c:v>
                </c:pt>
                <c:pt idx="69">
                  <c:v>9883.8759380000392</c:v>
                </c:pt>
                <c:pt idx="70">
                  <c:v>11795.637408544408</c:v>
                </c:pt>
                <c:pt idx="71">
                  <c:v>13754.469210265555</c:v>
                </c:pt>
                <c:pt idx="72">
                  <c:v>7357.9431348448097</c:v>
                </c:pt>
                <c:pt idx="73">
                  <c:v>8916.9130656728448</c:v>
                </c:pt>
                <c:pt idx="74">
                  <c:v>10519.901779958274</c:v>
                </c:pt>
                <c:pt idx="75">
                  <c:v>9000.0194114342812</c:v>
                </c:pt>
                <c:pt idx="76">
                  <c:v>10588.382230329085</c:v>
                </c:pt>
                <c:pt idx="77">
                  <c:v>12218.736423819937</c:v>
                </c:pt>
                <c:pt idx="78">
                  <c:v>10670.081532698872</c:v>
                </c:pt>
                <c:pt idx="79">
                  <c:v>12285.891006395766</c:v>
                </c:pt>
                <c:pt idx="80">
                  <c:v>13940.963089455068</c:v>
                </c:pt>
                <c:pt idx="81">
                  <c:v>6746.5901070513801</c:v>
                </c:pt>
                <c:pt idx="82">
                  <c:v>8327.8382486998307</c:v>
                </c:pt>
                <c:pt idx="83">
                  <c:v>9946.9169968638998</c:v>
                </c:pt>
                <c:pt idx="84">
                  <c:v>8404.2168120554725</c:v>
                </c:pt>
                <c:pt idx="85">
                  <c:v>10011.591626531421</c:v>
                </c:pt>
                <c:pt idx="86">
                  <c:v>11655.48311433414</c:v>
                </c:pt>
                <c:pt idx="87">
                  <c:v>10087.630671889528</c:v>
                </c:pt>
                <c:pt idx="88">
                  <c:v>11721.637817853245</c:v>
                </c:pt>
                <c:pt idx="89">
                  <c:v>13394.43121219768</c:v>
                </c:pt>
                <c:pt idx="90">
                  <c:v>6067.3170244793037</c:v>
                </c:pt>
                <c:pt idx="91">
                  <c:v>7684.7115373561892</c:v>
                </c:pt>
                <c:pt idx="92">
                  <c:v>9337.6575655856141</c:v>
                </c:pt>
                <c:pt idx="93">
                  <c:v>7757.7364801074064</c:v>
                </c:pt>
                <c:pt idx="94">
                  <c:v>9401.6203451127385</c:v>
                </c:pt>
                <c:pt idx="95">
                  <c:v>11089.142890085408</c:v>
                </c:pt>
                <c:pt idx="96">
                  <c:v>9475.9891116392155</c:v>
                </c:pt>
                <c:pt idx="97">
                  <c:v>11152.349392804945</c:v>
                </c:pt>
                <c:pt idx="98">
                  <c:v>12869.283397919422</c:v>
                </c:pt>
                <c:pt idx="99">
                  <c:v>5319.1875756039444</c:v>
                </c:pt>
                <c:pt idx="100">
                  <c:v>6870.7445236769117</c:v>
                </c:pt>
                <c:pt idx="101">
                  <c:v>8607.9178107483858</c:v>
                </c:pt>
                <c:pt idx="102">
                  <c:v>7019.1866248065608</c:v>
                </c:pt>
                <c:pt idx="103">
                  <c:v>8653.3856066162607</c:v>
                </c:pt>
                <c:pt idx="104">
                  <c:v>10426.195736146165</c:v>
                </c:pt>
                <c:pt idx="105">
                  <c:v>8757.9904171734579</c:v>
                </c:pt>
                <c:pt idx="106">
                  <c:v>10471.062803250561</c:v>
                </c:pt>
                <c:pt idx="107">
                  <c:v>12273.260083034609</c:v>
                </c:pt>
              </c:numCache>
            </c:numRef>
          </c:val>
          <c:smooth val="0"/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Beregn_2!$G$3:$G$110</c:f>
              <c:numCache>
                <c:formatCode>General</c:formatCode>
                <c:ptCount val="108"/>
                <c:pt idx="0">
                  <c:v>7833.8860158562038</c:v>
                </c:pt>
                <c:pt idx="1">
                  <c:v>9630.0368215822418</c:v>
                </c:pt>
                <c:pt idx="2">
                  <c:v>11426.187627308278</c:v>
                </c:pt>
                <c:pt idx="3">
                  <c:v>9679.205731735914</c:v>
                </c:pt>
                <c:pt idx="4">
                  <c:v>11475.356537461952</c:v>
                </c:pt>
                <c:pt idx="5">
                  <c:v>13271.507343187988</c:v>
                </c:pt>
                <c:pt idx="6">
                  <c:v>11524.525447615626</c:v>
                </c:pt>
                <c:pt idx="7">
                  <c:v>13320.676253341662</c:v>
                </c:pt>
                <c:pt idx="8">
                  <c:v>15116.827059067698</c:v>
                </c:pt>
                <c:pt idx="9">
                  <c:v>7597.3256281519425</c:v>
                </c:pt>
                <c:pt idx="10">
                  <c:v>9393.4764338779805</c:v>
                </c:pt>
                <c:pt idx="11">
                  <c:v>11189.627239604017</c:v>
                </c:pt>
                <c:pt idx="12">
                  <c:v>9442.6453440316527</c:v>
                </c:pt>
                <c:pt idx="13">
                  <c:v>11238.796149757691</c:v>
                </c:pt>
                <c:pt idx="14">
                  <c:v>13034.946955483727</c:v>
                </c:pt>
                <c:pt idx="15">
                  <c:v>11287.965059911365</c:v>
                </c:pt>
                <c:pt idx="16">
                  <c:v>13084.115865637401</c:v>
                </c:pt>
                <c:pt idx="17">
                  <c:v>14880.266671363437</c:v>
                </c:pt>
                <c:pt idx="18">
                  <c:v>7242.4850465955506</c:v>
                </c:pt>
                <c:pt idx="19">
                  <c:v>9038.6358523215877</c:v>
                </c:pt>
                <c:pt idx="20">
                  <c:v>10834.786658047624</c:v>
                </c:pt>
                <c:pt idx="21">
                  <c:v>9087.8047624752598</c:v>
                </c:pt>
                <c:pt idx="22">
                  <c:v>10883.955568201298</c:v>
                </c:pt>
                <c:pt idx="23">
                  <c:v>12680.106373927334</c:v>
                </c:pt>
                <c:pt idx="24">
                  <c:v>10933.124478354972</c:v>
                </c:pt>
                <c:pt idx="25">
                  <c:v>12729.275284081008</c:v>
                </c:pt>
                <c:pt idx="26">
                  <c:v>14525.426089807044</c:v>
                </c:pt>
                <c:pt idx="27">
                  <c:v>6651.0840773348973</c:v>
                </c:pt>
                <c:pt idx="28">
                  <c:v>8447.2348830609353</c:v>
                </c:pt>
                <c:pt idx="29">
                  <c:v>10243.385688786972</c:v>
                </c:pt>
                <c:pt idx="30">
                  <c:v>8496.4037932146075</c:v>
                </c:pt>
                <c:pt idx="31">
                  <c:v>10292.554598940646</c:v>
                </c:pt>
                <c:pt idx="32">
                  <c:v>12088.705404666682</c:v>
                </c:pt>
                <c:pt idx="33">
                  <c:v>10341.72350909432</c:v>
                </c:pt>
                <c:pt idx="34">
                  <c:v>12137.874314820356</c:v>
                </c:pt>
                <c:pt idx="35">
                  <c:v>13934.025120546392</c:v>
                </c:pt>
                <c:pt idx="36">
                  <c:v>7402.4277681112026</c:v>
                </c:pt>
                <c:pt idx="37">
                  <c:v>9198.5785738372397</c:v>
                </c:pt>
                <c:pt idx="38">
                  <c:v>10994.729379563276</c:v>
                </c:pt>
                <c:pt idx="39">
                  <c:v>9247.7474839909119</c:v>
                </c:pt>
                <c:pt idx="40">
                  <c:v>11043.898289716952</c:v>
                </c:pt>
                <c:pt idx="41">
                  <c:v>12840.049095442988</c:v>
                </c:pt>
                <c:pt idx="42">
                  <c:v>11093.067199870624</c:v>
                </c:pt>
                <c:pt idx="43">
                  <c:v>12889.21800559666</c:v>
                </c:pt>
                <c:pt idx="44">
                  <c:v>14685.368811322696</c:v>
                </c:pt>
                <c:pt idx="45">
                  <c:v>7165.8673804069413</c:v>
                </c:pt>
                <c:pt idx="46">
                  <c:v>8962.0181861329784</c:v>
                </c:pt>
                <c:pt idx="47">
                  <c:v>10758.168991859015</c:v>
                </c:pt>
                <c:pt idx="48">
                  <c:v>9011.1870962866506</c:v>
                </c:pt>
                <c:pt idx="49">
                  <c:v>10807.33790201269</c:v>
                </c:pt>
                <c:pt idx="50">
                  <c:v>12603.488707738727</c:v>
                </c:pt>
                <c:pt idx="51">
                  <c:v>10856.506812166363</c:v>
                </c:pt>
                <c:pt idx="52">
                  <c:v>12652.657617892399</c:v>
                </c:pt>
                <c:pt idx="53">
                  <c:v>14448.808423618435</c:v>
                </c:pt>
                <c:pt idx="54">
                  <c:v>6811.0267988505493</c:v>
                </c:pt>
                <c:pt idx="55">
                  <c:v>8607.1776045765855</c:v>
                </c:pt>
                <c:pt idx="56">
                  <c:v>10403.328410302622</c:v>
                </c:pt>
                <c:pt idx="57">
                  <c:v>8656.3465147302577</c:v>
                </c:pt>
                <c:pt idx="58">
                  <c:v>10452.497320456298</c:v>
                </c:pt>
                <c:pt idx="59">
                  <c:v>12248.648126182334</c:v>
                </c:pt>
                <c:pt idx="60">
                  <c:v>10501.66623060997</c:v>
                </c:pt>
                <c:pt idx="61">
                  <c:v>12297.817036336006</c:v>
                </c:pt>
                <c:pt idx="62">
                  <c:v>14093.967842062042</c:v>
                </c:pt>
                <c:pt idx="63">
                  <c:v>6219.6258295898961</c:v>
                </c:pt>
                <c:pt idx="64">
                  <c:v>8015.7766353159332</c:v>
                </c:pt>
                <c:pt idx="65">
                  <c:v>9811.9274410419694</c:v>
                </c:pt>
                <c:pt idx="66">
                  <c:v>8064.9455454696053</c:v>
                </c:pt>
                <c:pt idx="67">
                  <c:v>9861.0963511956452</c:v>
                </c:pt>
                <c:pt idx="68">
                  <c:v>11657.247156921681</c:v>
                </c:pt>
                <c:pt idx="69">
                  <c:v>9910.2652613493174</c:v>
                </c:pt>
                <c:pt idx="70">
                  <c:v>11706.416067075354</c:v>
                </c:pt>
                <c:pt idx="71">
                  <c:v>13502.56687280139</c:v>
                </c:pt>
                <c:pt idx="72">
                  <c:v>6539.511272621201</c:v>
                </c:pt>
                <c:pt idx="73">
                  <c:v>8335.662078347239</c:v>
                </c:pt>
                <c:pt idx="74">
                  <c:v>10131.812884073275</c:v>
                </c:pt>
                <c:pt idx="75">
                  <c:v>8384.8309885009112</c:v>
                </c:pt>
                <c:pt idx="76">
                  <c:v>10180.981794226949</c:v>
                </c:pt>
                <c:pt idx="77">
                  <c:v>11977.132599952985</c:v>
                </c:pt>
                <c:pt idx="78">
                  <c:v>10230.150704380623</c:v>
                </c:pt>
                <c:pt idx="79">
                  <c:v>12026.301510106659</c:v>
                </c:pt>
                <c:pt idx="80">
                  <c:v>13822.452315832696</c:v>
                </c:pt>
                <c:pt idx="81">
                  <c:v>6302.9508849169397</c:v>
                </c:pt>
                <c:pt idx="82">
                  <c:v>8099.1016906429777</c:v>
                </c:pt>
                <c:pt idx="83">
                  <c:v>9895.2524963690139</c:v>
                </c:pt>
                <c:pt idx="84">
                  <c:v>8148.2706007966499</c:v>
                </c:pt>
                <c:pt idx="85">
                  <c:v>9944.4214065226879</c:v>
                </c:pt>
                <c:pt idx="86">
                  <c:v>11740.572212248724</c:v>
                </c:pt>
                <c:pt idx="87">
                  <c:v>9993.5903166763619</c:v>
                </c:pt>
                <c:pt idx="88">
                  <c:v>11789.741122402398</c:v>
                </c:pt>
                <c:pt idx="89">
                  <c:v>13585.891928128434</c:v>
                </c:pt>
                <c:pt idx="90">
                  <c:v>5948.1103033605477</c:v>
                </c:pt>
                <c:pt idx="91">
                  <c:v>7744.2611090865857</c:v>
                </c:pt>
                <c:pt idx="92">
                  <c:v>9540.411914812621</c:v>
                </c:pt>
                <c:pt idx="93">
                  <c:v>7793.4300192402579</c:v>
                </c:pt>
                <c:pt idx="94">
                  <c:v>9589.580824966295</c:v>
                </c:pt>
                <c:pt idx="95">
                  <c:v>11385.731630692331</c:v>
                </c:pt>
                <c:pt idx="96">
                  <c:v>9638.749735119969</c:v>
                </c:pt>
                <c:pt idx="97">
                  <c:v>11434.900540846005</c:v>
                </c:pt>
                <c:pt idx="98">
                  <c:v>13231.051346572041</c:v>
                </c:pt>
                <c:pt idx="99">
                  <c:v>5356.7093340998945</c:v>
                </c:pt>
                <c:pt idx="100">
                  <c:v>7152.8601398259325</c:v>
                </c:pt>
                <c:pt idx="101">
                  <c:v>8949.0109455519687</c:v>
                </c:pt>
                <c:pt idx="102">
                  <c:v>7202.0290499796047</c:v>
                </c:pt>
                <c:pt idx="103">
                  <c:v>8998.1798557056427</c:v>
                </c:pt>
                <c:pt idx="104">
                  <c:v>10794.330661431679</c:v>
                </c:pt>
                <c:pt idx="105">
                  <c:v>9047.3487658593167</c:v>
                </c:pt>
                <c:pt idx="106">
                  <c:v>10843.499571585353</c:v>
                </c:pt>
                <c:pt idx="107">
                  <c:v>12639.650377311389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1849192"/>
        <c:axId val="241848800"/>
      </c:lineChart>
      <c:catAx>
        <c:axId val="2418491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241848800"/>
        <c:crosses val="autoZero"/>
        <c:auto val="1"/>
        <c:lblAlgn val="ctr"/>
        <c:lblOffset val="100"/>
        <c:noMultiLvlLbl val="0"/>
      </c:catAx>
      <c:valAx>
        <c:axId val="241848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241849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76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76" workbookViewId="0" zoomToFit="1"/>
  </sheetViews>
  <pageMargins left="0.7" right="0.7" top="0.75" bottom="0.75" header="0.3" footer="0.3"/>
  <drawing r:id="rId1"/>
</chartsheet>
</file>

<file path=xl/ctrlProps/ctrlProp1.xml><?xml version="1.0" encoding="utf-8"?>
<formControlPr xmlns="http://schemas.microsoft.com/office/spreadsheetml/2009/9/main" objectType="Drop" dropLines="3" dropStyle="combo" dx="16" fmlaLink="$Z$11" fmlaRange="$Z$6:$Z$8" sel="3" val="0"/>
</file>

<file path=xl/ctrlProps/ctrlProp2.xml><?xml version="1.0" encoding="utf-8"?>
<formControlPr xmlns="http://schemas.microsoft.com/office/spreadsheetml/2009/9/main" objectType="Drop" dropLines="4" dropStyle="combo" dx="16" fmlaLink="$AA$11" fmlaRange="$AA$6:$AA$9" sel="1" val="0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chart" Target="../charts/chart3.xml"/><Relationship Id="rId7" Type="http://schemas.openxmlformats.org/officeDocument/2006/relationships/image" Target="../media/image4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3.gif"/><Relationship Id="rId5" Type="http://schemas.openxmlformats.org/officeDocument/2006/relationships/image" Target="../media/image2.gif"/><Relationship Id="rId4" Type="http://schemas.openxmlformats.org/officeDocument/2006/relationships/image" Target="../media/image1.png"/><Relationship Id="rId9" Type="http://schemas.openxmlformats.org/officeDocument/2006/relationships/image" Target="../media/image6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11</xdr:row>
          <xdr:rowOff>142875</xdr:rowOff>
        </xdr:from>
        <xdr:to>
          <xdr:col>3</xdr:col>
          <xdr:colOff>390525</xdr:colOff>
          <xdr:row>13</xdr:row>
          <xdr:rowOff>19050</xdr:rowOff>
        </xdr:to>
        <xdr:sp macro="" textlink="">
          <xdr:nvSpPr>
            <xdr:cNvPr id="1025" name="Drop Down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13</xdr:row>
          <xdr:rowOff>142875</xdr:rowOff>
        </xdr:from>
        <xdr:to>
          <xdr:col>3</xdr:col>
          <xdr:colOff>390525</xdr:colOff>
          <xdr:row>15</xdr:row>
          <xdr:rowOff>19050</xdr:rowOff>
        </xdr:to>
        <xdr:sp macro="" textlink="">
          <xdr:nvSpPr>
            <xdr:cNvPr id="1026" name="Drop Down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7</xdr:col>
      <xdr:colOff>0</xdr:colOff>
      <xdr:row>4</xdr:row>
      <xdr:rowOff>0</xdr:rowOff>
    </xdr:from>
    <xdr:to>
      <xdr:col>15</xdr:col>
      <xdr:colOff>273600</xdr:colOff>
      <xdr:row>24</xdr:row>
      <xdr:rowOff>74625</xdr:rowOff>
    </xdr:to>
    <xdr:graphicFrame macro="">
      <xdr:nvGraphicFramePr>
        <xdr:cNvPr id="2" name="Diagram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647700</xdr:colOff>
      <xdr:row>26</xdr:row>
      <xdr:rowOff>85725</xdr:rowOff>
    </xdr:from>
    <xdr:to>
      <xdr:col>11</xdr:col>
      <xdr:colOff>98700</xdr:colOff>
      <xdr:row>37</xdr:row>
      <xdr:rowOff>32550</xdr:rowOff>
    </xdr:to>
    <xdr:graphicFrame macro="">
      <xdr:nvGraphicFramePr>
        <xdr:cNvPr id="6" name="Diagram 5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228600</xdr:colOff>
      <xdr:row>26</xdr:row>
      <xdr:rowOff>85725</xdr:rowOff>
    </xdr:from>
    <xdr:to>
      <xdr:col>15</xdr:col>
      <xdr:colOff>365400</xdr:colOff>
      <xdr:row>37</xdr:row>
      <xdr:rowOff>32550</xdr:rowOff>
    </xdr:to>
    <xdr:graphicFrame macro="">
      <xdr:nvGraphicFramePr>
        <xdr:cNvPr id="7" name="Diagram 6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19</xdr:col>
      <xdr:colOff>47625</xdr:colOff>
      <xdr:row>1</xdr:row>
      <xdr:rowOff>19050</xdr:rowOff>
    </xdr:from>
    <xdr:to>
      <xdr:col>21</xdr:col>
      <xdr:colOff>116025</xdr:colOff>
      <xdr:row>2</xdr:row>
      <xdr:rowOff>134157</xdr:rowOff>
    </xdr:to>
    <xdr:pic>
      <xdr:nvPicPr>
        <xdr:cNvPr id="9" name="Billede 8" descr="Elforsk logo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80975"/>
          <a:ext cx="1440000" cy="400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28575</xdr:colOff>
      <xdr:row>3</xdr:row>
      <xdr:rowOff>19050</xdr:rowOff>
    </xdr:from>
    <xdr:to>
      <xdr:col>22</xdr:col>
      <xdr:colOff>131175</xdr:colOff>
      <xdr:row>6</xdr:row>
      <xdr:rowOff>38115</xdr:rowOff>
    </xdr:to>
    <xdr:pic>
      <xdr:nvPicPr>
        <xdr:cNvPr id="11" name="Billede 10" descr="http://www.patientathome.dk/media/100407/teknologisk_institut.gif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44625" y="752475"/>
          <a:ext cx="2160000" cy="533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57150</xdr:colOff>
      <xdr:row>6</xdr:row>
      <xdr:rowOff>161925</xdr:rowOff>
    </xdr:from>
    <xdr:to>
      <xdr:col>22</xdr:col>
      <xdr:colOff>159750</xdr:colOff>
      <xdr:row>9</xdr:row>
      <xdr:rowOff>64055</xdr:rowOff>
    </xdr:to>
    <xdr:pic>
      <xdr:nvPicPr>
        <xdr:cNvPr id="12" name="Billede 11" descr="http://sdti.dk.prolinux1.curanetserver.dk/wp-content/uploads/2015/04/LiBal_Logo.gif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73200" y="1409700"/>
          <a:ext cx="2160000" cy="445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9525</xdr:colOff>
      <xdr:row>10</xdr:row>
      <xdr:rowOff>57150</xdr:rowOff>
    </xdr:from>
    <xdr:to>
      <xdr:col>23</xdr:col>
      <xdr:colOff>146325</xdr:colOff>
      <xdr:row>22</xdr:row>
      <xdr:rowOff>5475</xdr:rowOff>
    </xdr:to>
    <xdr:pic>
      <xdr:nvPicPr>
        <xdr:cNvPr id="4" name="Billede 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125575" y="2009775"/>
          <a:ext cx="2880000" cy="1920000"/>
        </a:xfrm>
        <a:prstGeom prst="rect">
          <a:avLst/>
        </a:prstGeom>
      </xdr:spPr>
    </xdr:pic>
    <xdr:clientData/>
  </xdr:twoCellAnchor>
  <xdr:twoCellAnchor editAs="oneCell">
    <xdr:from>
      <xdr:col>19</xdr:col>
      <xdr:colOff>19050</xdr:colOff>
      <xdr:row>22</xdr:row>
      <xdr:rowOff>180975</xdr:rowOff>
    </xdr:from>
    <xdr:to>
      <xdr:col>21</xdr:col>
      <xdr:colOff>87450</xdr:colOff>
      <xdr:row>34</xdr:row>
      <xdr:rowOff>78492</xdr:rowOff>
    </xdr:to>
    <xdr:pic>
      <xdr:nvPicPr>
        <xdr:cNvPr id="10" name="Billede 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135100" y="4105275"/>
          <a:ext cx="1440000" cy="1869192"/>
        </a:xfrm>
        <a:prstGeom prst="rect">
          <a:avLst/>
        </a:prstGeom>
      </xdr:spPr>
    </xdr:pic>
    <xdr:clientData/>
  </xdr:twoCellAnchor>
  <xdr:twoCellAnchor editAs="oneCell">
    <xdr:from>
      <xdr:col>19</xdr:col>
      <xdr:colOff>6075</xdr:colOff>
      <xdr:row>35</xdr:row>
      <xdr:rowOff>56400</xdr:rowOff>
    </xdr:from>
    <xdr:to>
      <xdr:col>23</xdr:col>
      <xdr:colOff>142875</xdr:colOff>
      <xdr:row>45</xdr:row>
      <xdr:rowOff>57150</xdr:rowOff>
    </xdr:to>
    <xdr:pic>
      <xdr:nvPicPr>
        <xdr:cNvPr id="3" name="Billede 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14122125" y="6114300"/>
          <a:ext cx="2880000" cy="162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99408" cy="6065921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99408" cy="6065921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-tema">
  <a:themeElements>
    <a:clrScheme name="Kont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ontor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5" Type="http://schemas.openxmlformats.org/officeDocument/2006/relationships/comments" Target="../comments1.xml"/><Relationship Id="rId4" Type="http://schemas.openxmlformats.org/officeDocument/2006/relationships/ctrlProp" Target="../ctrlProps/ctrlProp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F100"/>
  <sheetViews>
    <sheetView tabSelected="1" workbookViewId="0"/>
  </sheetViews>
  <sheetFormatPr defaultRowHeight="12.75" x14ac:dyDescent="0.2"/>
  <cols>
    <col min="1" max="1" width="3.625" customWidth="1"/>
    <col min="2" max="2" width="28.625" customWidth="1"/>
    <col min="26" max="26" width="14.75" customWidth="1"/>
    <col min="31" max="31" width="28.875" customWidth="1"/>
    <col min="32" max="32" width="12.125" bestFit="1" customWidth="1"/>
  </cols>
  <sheetData>
    <row r="1" spans="1:32" x14ac:dyDescent="0.2">
      <c r="A1" s="27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49"/>
      <c r="T1" s="27"/>
      <c r="U1" s="27"/>
      <c r="V1" s="27"/>
      <c r="W1" s="27"/>
      <c r="X1" s="27"/>
    </row>
    <row r="2" spans="1:32" ht="22.5" x14ac:dyDescent="0.3">
      <c r="A2" s="27"/>
      <c r="B2" s="60" t="s">
        <v>93</v>
      </c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49"/>
      <c r="T2" s="27"/>
      <c r="U2" s="27"/>
      <c r="V2" s="27"/>
      <c r="W2" s="27"/>
      <c r="X2" s="27"/>
    </row>
    <row r="3" spans="1:32" ht="22.5" x14ac:dyDescent="0.3">
      <c r="A3" s="27"/>
      <c r="B3" s="60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49"/>
      <c r="T3" s="27"/>
      <c r="U3" s="27"/>
      <c r="V3" s="27"/>
      <c r="W3" s="27"/>
      <c r="X3" s="27"/>
    </row>
    <row r="4" spans="1:32" x14ac:dyDescent="0.2">
      <c r="A4" s="27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49"/>
      <c r="T4" s="27"/>
      <c r="U4" s="27"/>
      <c r="V4" s="27"/>
      <c r="W4" s="27"/>
      <c r="X4" s="27"/>
    </row>
    <row r="5" spans="1:32" ht="15" x14ac:dyDescent="0.2">
      <c r="A5" s="27"/>
      <c r="B5" s="29" t="s">
        <v>17</v>
      </c>
      <c r="C5" s="30"/>
      <c r="D5" s="30"/>
      <c r="E5" s="30"/>
      <c r="F5" s="30"/>
      <c r="G5" s="49"/>
      <c r="H5" s="49"/>
      <c r="I5" s="27"/>
      <c r="J5" s="27"/>
      <c r="K5" s="27"/>
      <c r="L5" s="27"/>
      <c r="M5" s="27"/>
      <c r="N5" s="27"/>
      <c r="O5" s="27"/>
      <c r="P5" s="27"/>
      <c r="Q5" s="27"/>
      <c r="R5" s="27"/>
      <c r="S5" s="49"/>
      <c r="T5" s="27"/>
      <c r="U5" s="27"/>
      <c r="V5" s="27"/>
      <c r="W5" s="27"/>
      <c r="X5" s="27"/>
      <c r="Z5" s="21" t="s">
        <v>18</v>
      </c>
      <c r="AA5" s="21" t="s">
        <v>16</v>
      </c>
      <c r="AE5" t="s">
        <v>82</v>
      </c>
      <c r="AF5">
        <f>IF(AB47=1,0.000001,C47)</f>
        <v>9.9999999999999995E-7</v>
      </c>
    </row>
    <row r="6" spans="1:32" x14ac:dyDescent="0.2">
      <c r="A6" s="27"/>
      <c r="B6" s="32"/>
      <c r="C6" s="32"/>
      <c r="D6" s="32"/>
      <c r="E6" s="32"/>
      <c r="F6" s="32"/>
      <c r="G6" s="49"/>
      <c r="H6" s="49"/>
      <c r="I6" s="27"/>
      <c r="J6" s="27"/>
      <c r="K6" s="27"/>
      <c r="L6" s="27"/>
      <c r="M6" s="27"/>
      <c r="N6" s="27"/>
      <c r="O6" s="27"/>
      <c r="P6" s="27"/>
      <c r="Q6" s="27"/>
      <c r="R6" s="27"/>
      <c r="S6" s="49"/>
      <c r="T6" s="27"/>
      <c r="U6" s="27"/>
      <c r="V6" s="27"/>
      <c r="W6" s="27"/>
      <c r="X6" s="27"/>
      <c r="Z6" s="21">
        <v>3</v>
      </c>
      <c r="AA6" s="31" t="s">
        <v>19</v>
      </c>
    </row>
    <row r="7" spans="1:32" ht="15" customHeight="1" x14ac:dyDescent="0.2">
      <c r="A7" s="27"/>
      <c r="B7" s="32" t="s">
        <v>94</v>
      </c>
      <c r="C7" s="56">
        <v>5000</v>
      </c>
      <c r="D7" s="33"/>
      <c r="E7" s="33" t="s">
        <v>9</v>
      </c>
      <c r="F7" s="32"/>
      <c r="G7" s="49"/>
      <c r="H7" s="49"/>
      <c r="I7" s="27"/>
      <c r="J7" s="27"/>
      <c r="K7" s="27"/>
      <c r="L7" s="27"/>
      <c r="M7" s="27"/>
      <c r="N7" s="27"/>
      <c r="O7" s="27"/>
      <c r="P7" s="27"/>
      <c r="Q7" s="27"/>
      <c r="R7" s="27"/>
      <c r="S7" s="49"/>
      <c r="T7" s="27"/>
      <c r="U7" s="27"/>
      <c r="V7" s="27"/>
      <c r="W7" s="27"/>
      <c r="X7" s="27"/>
      <c r="Z7" s="21">
        <v>4</v>
      </c>
      <c r="AA7" s="21">
        <v>2</v>
      </c>
      <c r="AE7" t="s">
        <v>83</v>
      </c>
      <c r="AF7">
        <v>15</v>
      </c>
    </row>
    <row r="8" spans="1:32" x14ac:dyDescent="0.2">
      <c r="A8" s="27"/>
      <c r="B8" s="32"/>
      <c r="C8" s="32"/>
      <c r="D8" s="32"/>
      <c r="E8" s="32"/>
      <c r="F8" s="32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49"/>
      <c r="T8" s="27"/>
      <c r="U8" s="27"/>
      <c r="V8" s="27"/>
      <c r="W8" s="27"/>
      <c r="X8" s="27"/>
      <c r="Z8" s="21">
        <v>6</v>
      </c>
      <c r="AA8" s="21">
        <v>5</v>
      </c>
    </row>
    <row r="9" spans="1:32" ht="15" customHeight="1" x14ac:dyDescent="0.2">
      <c r="A9" s="27"/>
      <c r="B9" s="32" t="s">
        <v>73</v>
      </c>
      <c r="C9" s="56">
        <v>0</v>
      </c>
      <c r="D9" s="32"/>
      <c r="E9" s="33" t="s">
        <v>9</v>
      </c>
      <c r="F9" s="32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49"/>
      <c r="T9" s="27"/>
      <c r="U9" s="27"/>
      <c r="V9" s="27"/>
      <c r="W9" s="27"/>
      <c r="X9" s="27"/>
      <c r="Z9" s="21"/>
      <c r="AA9" s="21">
        <v>10</v>
      </c>
      <c r="AE9" t="s">
        <v>84</v>
      </c>
      <c r="AF9" s="52">
        <f>C43</f>
        <v>30000</v>
      </c>
    </row>
    <row r="10" spans="1:32" x14ac:dyDescent="0.2">
      <c r="A10" s="27"/>
      <c r="B10" s="32"/>
      <c r="C10" s="32"/>
      <c r="D10" s="32"/>
      <c r="E10" s="32"/>
      <c r="F10" s="32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49"/>
      <c r="T10" s="27"/>
      <c r="U10" s="27"/>
      <c r="V10" s="27"/>
      <c r="W10" s="27"/>
      <c r="X10" s="27"/>
      <c r="Z10" s="21"/>
      <c r="AA10" s="21"/>
    </row>
    <row r="11" spans="1:32" ht="15" customHeight="1" x14ac:dyDescent="0.2">
      <c r="A11" s="27"/>
      <c r="B11" s="32" t="s">
        <v>74</v>
      </c>
      <c r="C11" s="51">
        <f>C7+C9</f>
        <v>5000</v>
      </c>
      <c r="D11" s="32"/>
      <c r="E11" s="33" t="s">
        <v>9</v>
      </c>
      <c r="F11" s="32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49"/>
      <c r="T11" s="27"/>
      <c r="U11" s="27"/>
      <c r="V11" s="27"/>
      <c r="W11" s="27"/>
      <c r="X11" s="27"/>
      <c r="Z11" s="58">
        <v>3</v>
      </c>
      <c r="AA11" s="58">
        <v>1</v>
      </c>
      <c r="AE11" t="s">
        <v>85</v>
      </c>
      <c r="AF11" s="52">
        <f>C41</f>
        <v>0</v>
      </c>
    </row>
    <row r="12" spans="1:32" x14ac:dyDescent="0.2">
      <c r="A12" s="27"/>
      <c r="B12" s="32"/>
      <c r="C12" s="32"/>
      <c r="D12" s="32"/>
      <c r="E12" s="32"/>
      <c r="F12" s="32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49"/>
      <c r="T12" s="27"/>
      <c r="U12" s="27"/>
      <c r="V12" s="27"/>
      <c r="W12" s="27"/>
      <c r="X12" s="27"/>
      <c r="Z12" s="21"/>
      <c r="AA12" s="21"/>
    </row>
    <row r="13" spans="1:32" x14ac:dyDescent="0.2">
      <c r="A13" s="27"/>
      <c r="B13" s="32" t="s">
        <v>14</v>
      </c>
      <c r="C13" s="22"/>
      <c r="D13" s="32"/>
      <c r="E13" s="33" t="s">
        <v>15</v>
      </c>
      <c r="F13" s="33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49"/>
      <c r="T13" s="27"/>
      <c r="U13" s="27"/>
      <c r="V13" s="27"/>
      <c r="W13" s="27"/>
      <c r="X13" s="27"/>
      <c r="Z13" s="58">
        <f>IF(Z11=1,3,IF(Z11=2,4,IF(Z11=3,6)))</f>
        <v>6</v>
      </c>
      <c r="AA13" s="58">
        <f>IF(AA11=1,0,IF(AA11=2,2,IF(AA11=3,5,IF(AA11=4,10))))</f>
        <v>0</v>
      </c>
      <c r="AE13" t="s">
        <v>86</v>
      </c>
      <c r="AF13" s="34" t="e">
        <f>AF9/AF11</f>
        <v>#DIV/0!</v>
      </c>
    </row>
    <row r="14" spans="1:32" x14ac:dyDescent="0.2">
      <c r="A14" s="27"/>
      <c r="B14" s="32"/>
      <c r="C14" s="32"/>
      <c r="D14" s="32"/>
      <c r="E14" s="32"/>
      <c r="F14" s="32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49"/>
      <c r="T14" s="27"/>
      <c r="U14" s="27"/>
      <c r="V14" s="27"/>
      <c r="W14" s="27"/>
      <c r="X14" s="27"/>
    </row>
    <row r="15" spans="1:32" x14ac:dyDescent="0.2">
      <c r="A15" s="27"/>
      <c r="B15" s="32" t="s">
        <v>16</v>
      </c>
      <c r="C15" s="26"/>
      <c r="D15" s="33"/>
      <c r="E15" s="33" t="s">
        <v>9</v>
      </c>
      <c r="F15" s="32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49"/>
      <c r="T15" s="27"/>
      <c r="U15" s="27"/>
      <c r="V15" s="27"/>
      <c r="W15" s="27"/>
      <c r="X15" s="27"/>
      <c r="AE15" t="s">
        <v>87</v>
      </c>
      <c r="AF15" s="53">
        <f>AF11*AF7/AF9</f>
        <v>0</v>
      </c>
    </row>
    <row r="16" spans="1:32" x14ac:dyDescent="0.2">
      <c r="A16" s="27"/>
      <c r="B16" s="32"/>
      <c r="C16" s="32"/>
      <c r="D16" s="32"/>
      <c r="E16" s="32"/>
      <c r="F16" s="32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49"/>
      <c r="T16" s="27"/>
      <c r="U16" s="27"/>
      <c r="V16" s="27"/>
      <c r="W16" s="27"/>
      <c r="X16" s="27"/>
      <c r="Z16" s="21" t="s">
        <v>4</v>
      </c>
      <c r="AA16" s="21">
        <f>IF(Z11=1,Året!T4,IF(Z11=2,Året!T13,IF(Z11=3,Året!T22)))</f>
        <v>-0.27502523731477058</v>
      </c>
      <c r="AB16" s="21">
        <f>IF(Z11=1,Året!U4,IF(Z11=2,Året!U13,IF(Z11=3,Året!U22)))</f>
        <v>5975.3418703516254</v>
      </c>
    </row>
    <row r="17" spans="1:32" x14ac:dyDescent="0.2">
      <c r="A17" s="27"/>
      <c r="B17" s="32" t="s">
        <v>100</v>
      </c>
      <c r="C17" s="56">
        <v>0.88</v>
      </c>
      <c r="D17" s="32"/>
      <c r="E17" s="33" t="s">
        <v>23</v>
      </c>
      <c r="F17" s="32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49"/>
      <c r="T17" s="27"/>
      <c r="U17" s="27"/>
      <c r="V17" s="27"/>
      <c r="W17" s="27"/>
      <c r="X17" s="27"/>
      <c r="Z17" s="21"/>
      <c r="AA17" s="21"/>
      <c r="AB17" s="21"/>
      <c r="AE17" t="s">
        <v>88</v>
      </c>
      <c r="AF17" s="53">
        <f>(1-POWER((1+AF5/100),-AF7))/AF5*100</f>
        <v>14.999998632081457</v>
      </c>
    </row>
    <row r="18" spans="1:32" x14ac:dyDescent="0.2">
      <c r="A18" s="27"/>
      <c r="B18" s="32"/>
      <c r="C18" s="32"/>
      <c r="D18" s="32"/>
      <c r="E18" s="32"/>
      <c r="F18" s="32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49"/>
      <c r="T18" s="27"/>
      <c r="U18" s="27"/>
      <c r="V18" s="27"/>
      <c r="W18" s="27"/>
      <c r="X18" s="27"/>
      <c r="Z18" s="21" t="s">
        <v>5</v>
      </c>
      <c r="AA18" s="21">
        <f>IF(Z11=1,Året!V4,IF(Z11=2,Året!V13,IF(Z11=3,Året!V22)))</f>
        <v>0.73222077874392111</v>
      </c>
      <c r="AB18" s="21">
        <f>IF(Z11=1,Året!W4,IF(Z11=2,Året!W13,IF(Z11=3,Året!W22)))</f>
        <v>-280.05327509818108</v>
      </c>
    </row>
    <row r="19" spans="1:32" x14ac:dyDescent="0.2">
      <c r="A19" s="27"/>
      <c r="B19" s="32" t="s">
        <v>101</v>
      </c>
      <c r="C19" s="56">
        <v>2.5</v>
      </c>
      <c r="D19" s="32"/>
      <c r="E19" s="33" t="s">
        <v>23</v>
      </c>
      <c r="F19" s="32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49"/>
      <c r="T19" s="27"/>
      <c r="U19" s="27"/>
      <c r="V19" s="27"/>
      <c r="W19" s="27"/>
      <c r="X19" s="27"/>
      <c r="Z19" s="21"/>
      <c r="AA19" s="21"/>
      <c r="AB19" s="21"/>
      <c r="AE19" t="s">
        <v>89</v>
      </c>
      <c r="AF19" s="53" t="e">
        <f>+(AF17-AF13)/+(AF17*AF13)*100</f>
        <v>#DIV/0!</v>
      </c>
    </row>
    <row r="20" spans="1:32" x14ac:dyDescent="0.2">
      <c r="A20" s="27"/>
      <c r="B20" s="32"/>
      <c r="C20" s="32"/>
      <c r="D20" s="32"/>
      <c r="E20" s="32"/>
      <c r="F20" s="32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49"/>
      <c r="T20" s="27"/>
      <c r="U20" s="27"/>
      <c r="V20" s="27"/>
      <c r="W20" s="27"/>
      <c r="X20" s="27"/>
      <c r="Z20" s="21" t="s">
        <v>21</v>
      </c>
      <c r="AA20" s="21">
        <f>IF(AND(Z11=1,AA11=1),Året!T4,IF(AND(Z11=2,AA11=1),Året!T13,IF(AND(Z11=3,AA11=1),Året!T22,IF(AND(Z11=1,AA11=2),Året!X4,IF(AND(Z11=2,AA11=2),Året!X13,IF(AND(Z11=3,AA11=2),Året!X22,IF(AND(Z11=1,AA11=3),Året!AB4,IF(AND(Z11=2,AA11=3),Året!AB13,IF(AND(Z11=3,AA11=3),Året!AB22,IF(AND(Z11=1,AA11=4),Året!AF4,IF(AND(Z11=2,AA11=4),Året!AF13,IF(AND(Z11=3,AA11=4),Året!AF22))))))))))))</f>
        <v>-0.27502523731477058</v>
      </c>
      <c r="AB20" s="21">
        <f>IF(AND(Z11=1,AA11=1),Året!U4,IF(AND(Z11=2,AA11=1),Året!U13,IF(AND(Z11=3,AA11=1),Året!U22,IF(AND(Z11=1,AA11=2),Året!Y4,IF(AND(Z11=2,AA11=2),Året!Y13,IF(AND(Z11=3,AA11=2),Året!Y22,IF(AND(Z11=1,AA11=3),Året!AC4,IF(AND(Z11=2,AA11=3),Året!AC13,IF(AND(Z11=3,AA11=3),Året!AC22,IF(AND(Z11=1,AA11=4),Året!AG4,IF(AND(Z11=2,AA11=4),Året!AG13,IF(AND(Z11=3,AA11=4),Året!AG22))))))))))))</f>
        <v>5975.3418703516254</v>
      </c>
    </row>
    <row r="21" spans="1:32" x14ac:dyDescent="0.2">
      <c r="A21" s="27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49"/>
      <c r="T21" s="27"/>
      <c r="U21" s="27"/>
      <c r="V21" s="27"/>
      <c r="W21" s="27"/>
      <c r="X21" s="27"/>
      <c r="Z21" s="21"/>
      <c r="AA21" s="21"/>
      <c r="AB21" s="21"/>
      <c r="AE21" t="s">
        <v>90</v>
      </c>
      <c r="AF21" s="53" t="e">
        <f>+AF19*AF9/100</f>
        <v>#DIV/0!</v>
      </c>
    </row>
    <row r="22" spans="1:32" x14ac:dyDescent="0.2">
      <c r="A22" s="27"/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49"/>
      <c r="T22" s="27"/>
      <c r="U22" s="27"/>
      <c r="V22" s="27"/>
      <c r="W22" s="27"/>
      <c r="X22" s="27"/>
      <c r="Z22" s="21" t="s">
        <v>22</v>
      </c>
      <c r="AA22" s="21">
        <f>IF(AND(Z11=1,AA11=1),Året!V4,IF(AND(Z11=2,AA11=1),Året!V13,IF(AND(Z11=3,AA11=1),Året!V22,IF(AND(Z11=1,AA11=2),Året!Z4,IF(AND(Z11=2,AA11=2),Året!Z13,IF(AND(Z11=3,AA11=2),Året!Z22,IF(AND(Z11=1,AA11=3),Året!AD4,IF(AND(Z11=2,AA11=3),Året!AD13,IF(AND(Z11=3,AA11=3),Året!AD22,IF(AND(Z11=1,AA11=4),Året!AH4,IF(AND(Z11=2,AA11=4),Året!AH13,IF(AND(Z11=3,AA11=4),Året!AH22))))))))))))</f>
        <v>0.73222077874392111</v>
      </c>
      <c r="AB22" s="21">
        <f>IF(AND(Z11=1,AA11=1),Året!W4,IF(AND(Z11=2,AA11=1),Året!W13,IF(AND(Z11=3,AA11=1),Året!W22,IF(AND(Z11=1,AA11=2),Året!AA4,IF(AND(Z11=2,AA11=2),Året!AA13,IF(AND(Z11=3,AA11=2),Året!AA22,IF(AND(Z11=1,AA11=3),Året!AE4,IF(AND(Z11=2,AA11=3),Året!AE13,IF(AND(Z11=3,AA11=3),Året!AE22,IF(AND(Z11=1,AA11=4),Året!AI4,IF(AND(Z11=2,AA11=4),Året!AI13,IF(AND(Z11=3,AA11=4),Året!AI22))))))))))))</f>
        <v>-280.05327509818108</v>
      </c>
    </row>
    <row r="23" spans="1:32" ht="15" x14ac:dyDescent="0.2">
      <c r="A23" s="27"/>
      <c r="B23" s="28" t="s">
        <v>20</v>
      </c>
      <c r="C23" s="23"/>
      <c r="D23" s="23"/>
      <c r="E23" s="23"/>
      <c r="F23" s="23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49"/>
      <c r="T23" s="27"/>
      <c r="U23" s="27"/>
      <c r="V23" s="27"/>
      <c r="W23" s="27"/>
      <c r="X23" s="27"/>
    </row>
    <row r="24" spans="1:32" x14ac:dyDescent="0.2">
      <c r="A24" s="27"/>
      <c r="B24" s="24"/>
      <c r="C24" s="24"/>
      <c r="D24" s="24"/>
      <c r="E24" s="24"/>
      <c r="F24" s="24"/>
      <c r="G24" s="27"/>
      <c r="H24" s="27"/>
      <c r="J24" s="47"/>
      <c r="K24" s="27"/>
      <c r="L24" s="27"/>
      <c r="M24" s="27"/>
      <c r="N24" s="27"/>
      <c r="O24" s="27"/>
      <c r="P24" s="27"/>
      <c r="Q24" s="27"/>
      <c r="R24" s="27"/>
      <c r="S24" s="49"/>
      <c r="T24" s="27"/>
      <c r="U24" s="27"/>
      <c r="V24" s="27"/>
      <c r="W24" s="27"/>
      <c r="X24" s="27"/>
    </row>
    <row r="25" spans="1:32" x14ac:dyDescent="0.2">
      <c r="A25" s="27"/>
      <c r="B25" s="36" t="s">
        <v>28</v>
      </c>
      <c r="C25" s="23"/>
      <c r="D25" s="23"/>
      <c r="E25" s="23"/>
      <c r="F25" s="23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49"/>
      <c r="T25" s="27"/>
      <c r="U25" s="27"/>
      <c r="V25" s="27"/>
      <c r="W25" s="27"/>
      <c r="X25" s="27"/>
      <c r="AA25" t="s">
        <v>75</v>
      </c>
      <c r="AB25" t="s">
        <v>76</v>
      </c>
    </row>
    <row r="26" spans="1:32" x14ac:dyDescent="0.2">
      <c r="A26" s="27"/>
      <c r="B26" s="24"/>
      <c r="C26" s="24"/>
      <c r="D26" s="24"/>
      <c r="E26" s="24"/>
      <c r="F26" s="24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49"/>
      <c r="T26" s="27"/>
      <c r="U26" s="27"/>
      <c r="V26" s="27"/>
      <c r="W26" s="27"/>
      <c r="X26" s="27"/>
      <c r="Z26" s="19" t="s">
        <v>4</v>
      </c>
      <c r="AA26" s="34">
        <f>C27</f>
        <v>4600.2156837777729</v>
      </c>
      <c r="AB26">
        <f>Året_elsalg_elv!CT31</f>
        <v>4345.5262849201863</v>
      </c>
    </row>
    <row r="27" spans="1:32" x14ac:dyDescent="0.2">
      <c r="A27" s="27"/>
      <c r="B27" s="24" t="s">
        <v>4</v>
      </c>
      <c r="C27" s="54">
        <f>IF(OR(C9="",C9=0),(AA16*C7)+AB16,AB26)</f>
        <v>4600.2156837777729</v>
      </c>
      <c r="D27" s="25" t="s">
        <v>97</v>
      </c>
      <c r="E27" s="24"/>
      <c r="F27" s="24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49"/>
      <c r="T27" s="27"/>
      <c r="U27" s="27"/>
      <c r="V27" s="27"/>
      <c r="W27" s="27"/>
      <c r="X27" s="27"/>
      <c r="Z27" s="19" t="s">
        <v>5</v>
      </c>
      <c r="AA27" s="34">
        <f>C29</f>
        <v>3381.0506186214243</v>
      </c>
      <c r="AB27">
        <f>Året_elkøb_elv_2!CT31</f>
        <v>3126.3612197630114</v>
      </c>
    </row>
    <row r="28" spans="1:32" x14ac:dyDescent="0.2">
      <c r="A28" s="27"/>
      <c r="B28" s="24"/>
      <c r="C28" s="24"/>
      <c r="D28" s="24"/>
      <c r="E28" s="24"/>
      <c r="F28" s="24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49"/>
      <c r="T28" s="27"/>
      <c r="U28" s="27"/>
      <c r="V28" s="27"/>
      <c r="W28" s="27"/>
      <c r="X28" s="27"/>
      <c r="Z28" s="19" t="s">
        <v>21</v>
      </c>
      <c r="AA28" s="34">
        <f>C31</f>
        <v>4600.2156837777729</v>
      </c>
      <c r="AB28">
        <f>Året_elsalg_elv!CT32</f>
        <v>4345.5262849201863</v>
      </c>
    </row>
    <row r="29" spans="1:32" x14ac:dyDescent="0.2">
      <c r="A29" s="27"/>
      <c r="B29" s="24" t="s">
        <v>5</v>
      </c>
      <c r="C29" s="54">
        <f>IF(OR(C9="",C9=0),(AA18*C7)+AB18,AB27)</f>
        <v>3381.0506186214243</v>
      </c>
      <c r="D29" s="25" t="s">
        <v>97</v>
      </c>
      <c r="E29" s="24"/>
      <c r="F29" s="24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49"/>
      <c r="T29" s="27"/>
      <c r="U29" s="27"/>
      <c r="V29" s="27"/>
      <c r="W29" s="27"/>
      <c r="X29" s="27"/>
      <c r="Z29" s="19" t="s">
        <v>22</v>
      </c>
      <c r="AA29" s="34">
        <f>C33</f>
        <v>3381.0506186214243</v>
      </c>
      <c r="AB29">
        <f>Året_elkøb_elv_2!CT32</f>
        <v>3126.3612197630114</v>
      </c>
    </row>
    <row r="30" spans="1:32" x14ac:dyDescent="0.2">
      <c r="A30" s="27"/>
      <c r="B30" s="24"/>
      <c r="C30" s="24"/>
      <c r="D30" s="24"/>
      <c r="E30" s="24"/>
      <c r="F30" s="24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49"/>
      <c r="T30" s="27"/>
      <c r="U30" s="27"/>
      <c r="V30" s="27"/>
      <c r="W30" s="27"/>
      <c r="X30" s="27"/>
    </row>
    <row r="31" spans="1:32" x14ac:dyDescent="0.2">
      <c r="A31" s="27"/>
      <c r="B31" s="24" t="s">
        <v>21</v>
      </c>
      <c r="C31" s="54">
        <f>IF(OR(C9="",C9=0),(AA20*C7)+AB20,AB28)</f>
        <v>4600.2156837777729</v>
      </c>
      <c r="D31" s="25" t="s">
        <v>97</v>
      </c>
      <c r="E31" s="24"/>
      <c r="F31" s="24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49"/>
      <c r="T31" s="27"/>
      <c r="U31" s="27"/>
      <c r="V31" s="27"/>
      <c r="W31" s="27"/>
      <c r="X31" s="27"/>
    </row>
    <row r="32" spans="1:32" x14ac:dyDescent="0.2">
      <c r="A32" s="27"/>
      <c r="B32" s="24"/>
      <c r="C32" s="24"/>
      <c r="D32" s="24"/>
      <c r="E32" s="24"/>
      <c r="F32" s="24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49"/>
      <c r="T32" s="27"/>
      <c r="U32" s="27"/>
      <c r="V32" s="27"/>
      <c r="W32" s="27"/>
      <c r="X32" s="27"/>
      <c r="AA32" t="s">
        <v>79</v>
      </c>
      <c r="AB32" t="s">
        <v>78</v>
      </c>
    </row>
    <row r="33" spans="1:28" x14ac:dyDescent="0.2">
      <c r="A33" s="27"/>
      <c r="B33" s="24" t="s">
        <v>22</v>
      </c>
      <c r="C33" s="54">
        <f>IF(OR(C9="",C9=0),(AA22*C7)+AB22,AB29)</f>
        <v>3381.0506186214243</v>
      </c>
      <c r="D33" s="25" t="s">
        <v>97</v>
      </c>
      <c r="E33" s="24"/>
      <c r="F33" s="24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49"/>
      <c r="T33" s="27"/>
      <c r="U33" s="27"/>
      <c r="V33" s="27"/>
      <c r="W33" s="27"/>
      <c r="X33" s="27"/>
      <c r="Z33" s="19" t="s">
        <v>4</v>
      </c>
      <c r="AA33" s="34">
        <f>C27</f>
        <v>4600.2156837777729</v>
      </c>
      <c r="AB33" s="34">
        <f>C31</f>
        <v>4600.2156837777729</v>
      </c>
    </row>
    <row r="34" spans="1:28" x14ac:dyDescent="0.2">
      <c r="A34" s="27"/>
      <c r="B34" s="24"/>
      <c r="C34" s="24"/>
      <c r="D34" s="24"/>
      <c r="E34" s="24"/>
      <c r="F34" s="24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49"/>
      <c r="T34" s="27"/>
      <c r="U34" s="27"/>
      <c r="V34" s="27"/>
      <c r="W34" s="27"/>
      <c r="X34" s="27"/>
      <c r="Z34" s="19" t="s">
        <v>5</v>
      </c>
      <c r="AA34" s="34">
        <f>C29</f>
        <v>3381.0506186214243</v>
      </c>
      <c r="AB34" s="34">
        <f>C33</f>
        <v>3381.0506186214243</v>
      </c>
    </row>
    <row r="35" spans="1:28" x14ac:dyDescent="0.2">
      <c r="A35" s="27"/>
      <c r="B35" s="36" t="s">
        <v>26</v>
      </c>
      <c r="C35" s="23"/>
      <c r="D35" s="23"/>
      <c r="E35" s="23"/>
      <c r="F35" s="23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49"/>
      <c r="T35" s="27"/>
      <c r="U35" s="27"/>
      <c r="V35" s="27"/>
      <c r="W35" s="27"/>
      <c r="X35" s="27"/>
      <c r="Z35" s="22" t="s">
        <v>102</v>
      </c>
      <c r="AA35" s="34">
        <f>AA36-AA33</f>
        <v>1618.9493813785757</v>
      </c>
      <c r="AB35" s="34">
        <f>AB36-AB33</f>
        <v>1618.9493813785757</v>
      </c>
    </row>
    <row r="36" spans="1:28" x14ac:dyDescent="0.2">
      <c r="A36" s="27"/>
      <c r="B36" s="24"/>
      <c r="C36" s="24"/>
      <c r="D36" s="24"/>
      <c r="E36" s="24"/>
      <c r="F36" s="24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49"/>
      <c r="T36" s="27"/>
      <c r="U36" s="27"/>
      <c r="V36" s="27"/>
      <c r="W36" s="27"/>
      <c r="X36" s="27"/>
      <c r="Z36" s="19" t="s">
        <v>77</v>
      </c>
      <c r="AA36" s="34">
        <f>C11-AA34+AA33</f>
        <v>6219.1650651563486</v>
      </c>
      <c r="AB36" s="34">
        <f>C11-AB34+AB33</f>
        <v>6219.1650651563486</v>
      </c>
    </row>
    <row r="37" spans="1:28" x14ac:dyDescent="0.2">
      <c r="A37" s="27"/>
      <c r="B37" s="24" t="s">
        <v>24</v>
      </c>
      <c r="C37" s="54">
        <f>(C31-C27)*C17</f>
        <v>0</v>
      </c>
      <c r="D37" s="25" t="s">
        <v>98</v>
      </c>
      <c r="E37" s="24"/>
      <c r="F37" s="24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49"/>
      <c r="T37" s="27"/>
      <c r="U37" s="27"/>
      <c r="V37" s="27"/>
      <c r="W37" s="27"/>
      <c r="X37" s="27"/>
    </row>
    <row r="38" spans="1:28" x14ac:dyDescent="0.2">
      <c r="A38" s="27"/>
      <c r="B38" s="24"/>
      <c r="C38" s="24"/>
      <c r="D38" s="24"/>
      <c r="E38" s="24"/>
      <c r="F38" s="24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49"/>
      <c r="T38" s="27"/>
      <c r="U38" s="27"/>
      <c r="V38" s="27"/>
      <c r="W38" s="27"/>
      <c r="X38" s="27"/>
    </row>
    <row r="39" spans="1:28" x14ac:dyDescent="0.2">
      <c r="A39" s="27"/>
      <c r="B39" s="24" t="s">
        <v>25</v>
      </c>
      <c r="C39" s="54">
        <f>(C29-C33)*C19</f>
        <v>0</v>
      </c>
      <c r="D39" s="25" t="s">
        <v>98</v>
      </c>
      <c r="E39" s="24"/>
      <c r="F39" s="24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49"/>
      <c r="T39" s="27"/>
      <c r="U39" s="27"/>
      <c r="V39" s="27"/>
      <c r="W39" s="27"/>
      <c r="X39" s="27"/>
      <c r="AA39" t="s">
        <v>80</v>
      </c>
      <c r="AB39" t="s">
        <v>81</v>
      </c>
    </row>
    <row r="40" spans="1:28" x14ac:dyDescent="0.2">
      <c r="A40" s="27"/>
      <c r="B40" s="24"/>
      <c r="C40" s="24"/>
      <c r="D40" s="24"/>
      <c r="E40" s="24"/>
      <c r="F40" s="24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49"/>
      <c r="T40" s="27"/>
      <c r="U40" s="27"/>
      <c r="V40" s="27"/>
      <c r="W40" s="27"/>
      <c r="X40" s="27"/>
      <c r="AA40">
        <f>C27*C17</f>
        <v>4048.1898017244403</v>
      </c>
      <c r="AB40">
        <f>-C29*C19</f>
        <v>-8452.6265465535616</v>
      </c>
    </row>
    <row r="41" spans="1:28" x14ac:dyDescent="0.2">
      <c r="A41" s="27"/>
      <c r="B41" s="35" t="s">
        <v>96</v>
      </c>
      <c r="C41" s="55">
        <f>(C39*10)+(C37*10)</f>
        <v>0</v>
      </c>
      <c r="D41" s="25" t="s">
        <v>99</v>
      </c>
      <c r="E41" s="24"/>
      <c r="F41" s="24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49"/>
      <c r="T41" s="27"/>
      <c r="U41" s="27"/>
      <c r="V41" s="27"/>
      <c r="W41" s="27"/>
      <c r="X41" s="27"/>
      <c r="AA41">
        <f>C31*C17</f>
        <v>4048.1898017244403</v>
      </c>
      <c r="AB41">
        <f>-C33*C19</f>
        <v>-8452.6265465535616</v>
      </c>
    </row>
    <row r="42" spans="1:28" x14ac:dyDescent="0.2">
      <c r="A42" s="27"/>
      <c r="B42" s="24"/>
      <c r="C42" s="24"/>
      <c r="D42" s="24"/>
      <c r="E42" s="24"/>
      <c r="F42" s="24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49"/>
      <c r="T42" s="27"/>
      <c r="U42" s="27"/>
      <c r="V42" s="27"/>
      <c r="W42" s="27"/>
      <c r="X42" s="27"/>
    </row>
    <row r="43" spans="1:28" x14ac:dyDescent="0.2">
      <c r="A43" s="27"/>
      <c r="B43" s="35" t="s">
        <v>95</v>
      </c>
      <c r="C43" s="57">
        <v>30000</v>
      </c>
      <c r="D43" s="25" t="s">
        <v>27</v>
      </c>
      <c r="E43" s="24"/>
      <c r="F43" s="24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49"/>
      <c r="T43" s="27"/>
      <c r="U43" s="27"/>
      <c r="V43" s="27"/>
      <c r="W43" s="27"/>
      <c r="X43" s="27"/>
    </row>
    <row r="44" spans="1:28" x14ac:dyDescent="0.2">
      <c r="A44" s="27"/>
      <c r="B44" s="24"/>
      <c r="C44" s="24"/>
      <c r="D44" s="24"/>
      <c r="E44" s="24"/>
      <c r="F44" s="24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AB44" t="s">
        <v>91</v>
      </c>
    </row>
    <row r="45" spans="1:28" x14ac:dyDescent="0.2">
      <c r="A45" s="27"/>
      <c r="B45" s="35"/>
      <c r="C45" s="24"/>
      <c r="D45" s="24"/>
      <c r="E45" s="24"/>
      <c r="F45" s="24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AB45" t="s">
        <v>92</v>
      </c>
    </row>
    <row r="46" spans="1:28" x14ac:dyDescent="0.2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</row>
    <row r="47" spans="1:28" x14ac:dyDescent="0.2">
      <c r="A47" s="27"/>
      <c r="B47" s="61"/>
      <c r="C47" s="27"/>
      <c r="D47" s="4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AB47" s="59">
        <v>1</v>
      </c>
    </row>
    <row r="48" spans="1:28" x14ac:dyDescent="0.2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</row>
    <row r="49" spans="1:24" x14ac:dyDescent="0.2">
      <c r="A49" s="27"/>
      <c r="B49" s="61"/>
      <c r="C49" s="27"/>
      <c r="D49" s="4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</row>
    <row r="50" spans="1:24" x14ac:dyDescent="0.2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</row>
    <row r="51" spans="1:24" x14ac:dyDescent="0.2">
      <c r="A51" s="27"/>
      <c r="B51" s="61"/>
      <c r="C51" s="27"/>
      <c r="D51" s="4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</row>
    <row r="52" spans="1:24" x14ac:dyDescent="0.2">
      <c r="A52" s="27"/>
      <c r="B52" s="61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</row>
    <row r="53" spans="1:24" x14ac:dyDescent="0.2">
      <c r="A53" s="27"/>
      <c r="B53" s="61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</row>
    <row r="54" spans="1:24" x14ac:dyDescent="0.2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</row>
    <row r="55" spans="1:24" x14ac:dyDescent="0.2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</row>
    <row r="56" spans="1:24" x14ac:dyDescent="0.2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</row>
    <row r="57" spans="1:24" x14ac:dyDescent="0.2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</row>
    <row r="58" spans="1:24" x14ac:dyDescent="0.2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</row>
    <row r="59" spans="1:24" x14ac:dyDescent="0.2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</row>
    <row r="60" spans="1:24" x14ac:dyDescent="0.2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</row>
    <row r="61" spans="1:24" x14ac:dyDescent="0.2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</row>
    <row r="62" spans="1:24" x14ac:dyDescent="0.2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</row>
    <row r="63" spans="1:24" x14ac:dyDescent="0.2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</row>
    <row r="64" spans="1:24" x14ac:dyDescent="0.2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</row>
    <row r="65" spans="1:24" x14ac:dyDescent="0.2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</row>
    <row r="66" spans="1:24" x14ac:dyDescent="0.2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</row>
    <row r="67" spans="1:24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</row>
    <row r="68" spans="1:24" x14ac:dyDescent="0.2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</row>
    <row r="69" spans="1:24" x14ac:dyDescent="0.2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</row>
    <row r="70" spans="1:24" x14ac:dyDescent="0.2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</row>
    <row r="71" spans="1:24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</row>
    <row r="72" spans="1:24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</row>
    <row r="73" spans="1:24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</row>
    <row r="74" spans="1:24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</row>
    <row r="75" spans="1:24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</row>
    <row r="76" spans="1:24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</row>
    <row r="77" spans="1:24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</row>
    <row r="78" spans="1:24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</row>
    <row r="79" spans="1:24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</row>
    <row r="80" spans="1:24" x14ac:dyDescent="0.2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</row>
    <row r="81" spans="1:24" x14ac:dyDescent="0.2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</row>
    <row r="82" spans="1:24" x14ac:dyDescent="0.2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</row>
    <row r="83" spans="1:24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</row>
    <row r="84" spans="1:24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</row>
    <row r="85" spans="1:24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</row>
    <row r="86" spans="1:24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</row>
    <row r="87" spans="1:24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</row>
    <row r="88" spans="1:24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</row>
    <row r="89" spans="1:24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</row>
    <row r="90" spans="1:24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</row>
    <row r="91" spans="1:24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</row>
    <row r="92" spans="1:24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</row>
    <row r="93" spans="1:24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</row>
    <row r="94" spans="1:24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</row>
    <row r="95" spans="1:24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</row>
    <row r="96" spans="1:24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</row>
    <row r="97" spans="1:24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</row>
    <row r="98" spans="1:24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</row>
    <row r="99" spans="1:24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</row>
    <row r="100" spans="1:24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</row>
  </sheetData>
  <sheetProtection algorithmName="SHA-512" hashValue="AeopEf2N3UVOtFqn0MKJ9E2LQ+KQGzguKRiwnL0W1vYBPNsrniBYlqmab85gOC0FuhI/G+MKfAlvkcxGEsJvgA==" saltValue="krXhlrCp2eMpzJj5jeWaaw==" spinCount="100000" sheet="1" objects="1" scenarios="1"/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3" name="Drop Down 1">
              <controlPr defaultSize="0" autoLine="0" autoPict="0">
                <anchor moveWithCells="1" sizeWithCells="1">
                  <from>
                    <xdr:col>2</xdr:col>
                    <xdr:colOff>0</xdr:colOff>
                    <xdr:row>11</xdr:row>
                    <xdr:rowOff>142875</xdr:rowOff>
                  </from>
                  <to>
                    <xdr:col>3</xdr:col>
                    <xdr:colOff>390525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4" name="Drop Down 2">
              <controlPr defaultSize="0" autoLine="0" autoPict="0">
                <anchor moveWithCells="1" sizeWithCells="1">
                  <from>
                    <xdr:col>2</xdr:col>
                    <xdr:colOff>0</xdr:colOff>
                    <xdr:row>13</xdr:row>
                    <xdr:rowOff>142875</xdr:rowOff>
                  </from>
                  <to>
                    <xdr:col>3</xdr:col>
                    <xdr:colOff>390525</xdr:colOff>
                    <xdr:row>15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I26"/>
  <sheetViews>
    <sheetView workbookViewId="0">
      <selection activeCell="U4" sqref="U4"/>
    </sheetView>
  </sheetViews>
  <sheetFormatPr defaultRowHeight="12.75" x14ac:dyDescent="0.2"/>
  <cols>
    <col min="1" max="1" width="3.625" customWidth="1"/>
  </cols>
  <sheetData>
    <row r="2" spans="2:35" x14ac:dyDescent="0.2">
      <c r="B2" t="s">
        <v>3</v>
      </c>
      <c r="D2">
        <v>3122.2</v>
      </c>
      <c r="E2" t="s">
        <v>9</v>
      </c>
    </row>
    <row r="3" spans="2:35" x14ac:dyDescent="0.2">
      <c r="T3" t="s">
        <v>4</v>
      </c>
      <c r="V3" t="s">
        <v>5</v>
      </c>
      <c r="X3" t="s">
        <v>4</v>
      </c>
      <c r="Z3" t="s">
        <v>5</v>
      </c>
      <c r="AB3" t="s">
        <v>4</v>
      </c>
      <c r="AD3" t="s">
        <v>5</v>
      </c>
      <c r="AF3" t="s">
        <v>4</v>
      </c>
      <c r="AH3" t="s">
        <v>5</v>
      </c>
    </row>
    <row r="4" spans="2:35" x14ac:dyDescent="0.2">
      <c r="B4" s="3" t="s">
        <v>8</v>
      </c>
      <c r="C4" s="1" t="s">
        <v>4</v>
      </c>
      <c r="D4" s="2" t="s">
        <v>5</v>
      </c>
      <c r="E4" s="1" t="s">
        <v>4</v>
      </c>
      <c r="F4" s="2" t="s">
        <v>5</v>
      </c>
      <c r="G4" s="1" t="s">
        <v>4</v>
      </c>
      <c r="H4" s="2" t="s">
        <v>5</v>
      </c>
      <c r="I4" s="1" t="s">
        <v>4</v>
      </c>
      <c r="J4" s="2" t="s">
        <v>5</v>
      </c>
      <c r="K4" s="11" t="s">
        <v>10</v>
      </c>
      <c r="L4" s="12" t="s">
        <v>11</v>
      </c>
      <c r="M4" s="11" t="s">
        <v>10</v>
      </c>
      <c r="N4" s="12" t="s">
        <v>11</v>
      </c>
      <c r="O4" s="11" t="s">
        <v>12</v>
      </c>
      <c r="P4" s="12" t="s">
        <v>13</v>
      </c>
      <c r="Q4" s="11" t="s">
        <v>12</v>
      </c>
      <c r="R4" s="12" t="s">
        <v>13</v>
      </c>
      <c r="T4" s="11">
        <f t="array" ref="T4:U8">LINEST(C6:C8,B6:B8,TRUE,TRUE)</f>
        <v>-0.21359199631212844</v>
      </c>
      <c r="U4" s="17">
        <v>2841.9250223637519</v>
      </c>
      <c r="V4" s="17">
        <f t="array" ref="V4:W8">LINEST(D6:D8,B6:B8,TRUE,TRUE)</f>
        <v>0.79365401974659466</v>
      </c>
      <c r="W4" s="12">
        <v>-291.29356654253297</v>
      </c>
      <c r="X4" s="11">
        <f t="array" ref="X4:Y8">LINEST(E6:E8,B6:B8,TRUE,TRUE)</f>
        <v>-0.18427979817138956</v>
      </c>
      <c r="Y4" s="17">
        <v>2098.9508539966478</v>
      </c>
      <c r="Z4" s="17">
        <f t="array" ref="Z4:AA8">LINEST(F6:F8,B6:B8,TRUE,TRUE)</f>
        <v>0.82296621788753277</v>
      </c>
      <c r="AA4" s="12">
        <v>-1036.2677349107894</v>
      </c>
      <c r="AB4" s="11">
        <f t="array" ref="AB4:AC8">LINEST(G6:G8,B6:B8,TRUE,TRUE)</f>
        <v>-0.13100595960992267</v>
      </c>
      <c r="AC4" s="17">
        <v>1295.7666408124023</v>
      </c>
      <c r="AD4" s="17">
        <f t="array" ref="AD4:AE8">LINEST(H6:H8,B6:B8,TRUE,TRUE)</f>
        <v>0.87624005644908443</v>
      </c>
      <c r="AE4" s="12">
        <v>-1842.4519480955191</v>
      </c>
      <c r="AF4" s="11">
        <f t="array" ref="AF4:AG8">LINEST(I6:I8,B6:B8,TRUE,TRUE)</f>
        <v>-0.11943759179133276</v>
      </c>
      <c r="AG4" s="17">
        <v>964.75424722261107</v>
      </c>
      <c r="AH4" s="17">
        <f t="array" ref="AH4:AI8">LINEST(J6:J8,B6:B8,TRUE,TRUE)</f>
        <v>0.88780842426776096</v>
      </c>
      <c r="AI4" s="12">
        <v>-2178.4643416857466</v>
      </c>
    </row>
    <row r="5" spans="2:35" x14ac:dyDescent="0.2">
      <c r="B5" s="4"/>
      <c r="C5" s="62" t="s">
        <v>0</v>
      </c>
      <c r="D5" s="63"/>
      <c r="E5" s="62" t="s">
        <v>29</v>
      </c>
      <c r="F5" s="63"/>
      <c r="G5" s="62" t="s">
        <v>1</v>
      </c>
      <c r="H5" s="63"/>
      <c r="I5" s="62" t="s">
        <v>2</v>
      </c>
      <c r="J5" s="63"/>
      <c r="K5" s="62" t="s">
        <v>0</v>
      </c>
      <c r="L5" s="63"/>
      <c r="M5" s="62" t="s">
        <v>29</v>
      </c>
      <c r="N5" s="63"/>
      <c r="O5" s="62" t="s">
        <v>1</v>
      </c>
      <c r="P5" s="63"/>
      <c r="Q5" s="62" t="s">
        <v>2</v>
      </c>
      <c r="R5" s="63"/>
      <c r="T5" s="18">
        <v>1.3500876306168044E-2</v>
      </c>
      <c r="U5" s="19">
        <v>83.951860570996601</v>
      </c>
      <c r="V5" s="19">
        <v>1.3500876306319695E-2</v>
      </c>
      <c r="W5" s="16">
        <v>83.951860571939619</v>
      </c>
      <c r="X5" s="18">
        <v>1.1774850983491352E-2</v>
      </c>
      <c r="Y5" s="19">
        <v>73.218998944439647</v>
      </c>
      <c r="Z5" s="19">
        <v>1.1774850983405055E-2</v>
      </c>
      <c r="AA5" s="16">
        <v>73.218998943903031</v>
      </c>
      <c r="AB5" s="18">
        <v>1.3594481951246325E-2</v>
      </c>
      <c r="AC5" s="19">
        <v>84.533924126432623</v>
      </c>
      <c r="AD5" s="19">
        <v>1.3594481951016776E-2</v>
      </c>
      <c r="AE5" s="16">
        <v>84.533924125005228</v>
      </c>
      <c r="AF5" s="18">
        <v>4.3364581166563936E-2</v>
      </c>
      <c r="AG5" s="19">
        <v>269.6519240126521</v>
      </c>
      <c r="AH5" s="19">
        <v>4.3364581166357594E-2</v>
      </c>
      <c r="AI5" s="16">
        <v>269.65192401136909</v>
      </c>
    </row>
    <row r="6" spans="2:35" x14ac:dyDescent="0.2">
      <c r="B6" s="3">
        <v>4000</v>
      </c>
      <c r="C6" s="6">
        <v>2003.1465062545617</v>
      </c>
      <c r="D6" s="7">
        <v>2898.9119815833456</v>
      </c>
      <c r="E6" s="37">
        <v>1375.4280880810625</v>
      </c>
      <c r="F6" s="37">
        <v>2269.1935634092165</v>
      </c>
      <c r="G6" s="6">
        <v>787.4403580008028</v>
      </c>
      <c r="H6" s="7">
        <v>1678.2058333286454</v>
      </c>
      <c r="I6" s="6">
        <v>537.07698527690206</v>
      </c>
      <c r="J6" s="7">
        <v>1422.8424606046824</v>
      </c>
      <c r="K6" s="15">
        <f>$D$2-C6</f>
        <v>1119.0534937454381</v>
      </c>
      <c r="L6" s="12">
        <f>K6/$D$2</f>
        <v>0.35841826076018135</v>
      </c>
      <c r="M6" s="15">
        <f>$D$2-E6</f>
        <v>1746.7719119189373</v>
      </c>
      <c r="N6" s="12">
        <f>M6/$D$2</f>
        <v>0.55946829540674448</v>
      </c>
      <c r="O6" s="15">
        <f>$D$2-G6</f>
        <v>2334.7596419991969</v>
      </c>
      <c r="P6" s="12">
        <f>O6/$D$2</f>
        <v>0.74779310806456889</v>
      </c>
      <c r="Q6" s="15">
        <f>$D$2-I6</f>
        <v>2585.1230147230976</v>
      </c>
      <c r="R6" s="12">
        <f>Q6/$D$2</f>
        <v>0.82798123589875661</v>
      </c>
      <c r="T6" s="18">
        <v>0.99602055717789761</v>
      </c>
      <c r="U6" s="19">
        <v>38.186244752208836</v>
      </c>
      <c r="V6" s="19">
        <v>0.9997107084021386</v>
      </c>
      <c r="W6" s="16">
        <v>38.186244752637776</v>
      </c>
      <c r="X6" s="18">
        <v>0.99593382686365017</v>
      </c>
      <c r="Y6" s="19">
        <v>33.304307911551291</v>
      </c>
      <c r="Z6" s="19">
        <v>0.99979532823909079</v>
      </c>
      <c r="AA6" s="16">
        <v>33.304307911307205</v>
      </c>
      <c r="AB6" s="18">
        <v>0.98934651623363257</v>
      </c>
      <c r="AC6" s="19">
        <v>38.451001497777611</v>
      </c>
      <c r="AD6" s="19">
        <v>0.99975935624438972</v>
      </c>
      <c r="AE6" s="16">
        <v>38.451001497128345</v>
      </c>
      <c r="AF6" s="18">
        <v>0.88353107551622023</v>
      </c>
      <c r="AG6" s="19">
        <v>122.65355762476719</v>
      </c>
      <c r="AH6" s="19">
        <v>0.99761989076963553</v>
      </c>
      <c r="AI6" s="16">
        <v>122.65355762418358</v>
      </c>
    </row>
    <row r="7" spans="2:35" x14ac:dyDescent="0.2">
      <c r="B7" s="5">
        <v>6000</v>
      </c>
      <c r="C7" s="6">
        <v>1529.1941062123333</v>
      </c>
      <c r="D7" s="7">
        <v>4439.451613658036</v>
      </c>
      <c r="E7" s="37">
        <v>966.07921142836472</v>
      </c>
      <c r="F7" s="37">
        <v>3874.3367188746606</v>
      </c>
      <c r="G7" s="6">
        <v>478.33577189668426</v>
      </c>
      <c r="H7" s="7">
        <v>3383.5932793433353</v>
      </c>
      <c r="I7" s="6">
        <v>147.98248603537044</v>
      </c>
      <c r="J7" s="7">
        <v>3048.239993482051</v>
      </c>
      <c r="K7" s="6">
        <f>$D$2-C7</f>
        <v>1593.0058937876665</v>
      </c>
      <c r="L7" s="16">
        <f t="shared" ref="L7:P8" si="0">K7/$D$2</f>
        <v>0.51021904227393078</v>
      </c>
      <c r="M7" s="6">
        <f t="shared" ref="M7:M8" si="1">$D$2-E7</f>
        <v>2156.1207885716349</v>
      </c>
      <c r="N7" s="16">
        <f t="shared" ref="N7:N8" si="2">M7/$D$2</f>
        <v>0.6905774097020162</v>
      </c>
      <c r="O7" s="6">
        <f>$D$2-G7</f>
        <v>2643.8642281033153</v>
      </c>
      <c r="P7" s="16">
        <f t="shared" si="0"/>
        <v>0.84679528156534345</v>
      </c>
      <c r="Q7" s="6">
        <f>$D$2-I7</f>
        <v>2974.2175139646292</v>
      </c>
      <c r="R7" s="16">
        <f t="shared" ref="R7" si="3">Q7/$D$2</f>
        <v>0.9526031368793253</v>
      </c>
      <c r="T7" s="18">
        <v>250.29146081604091</v>
      </c>
      <c r="U7" s="19">
        <v>1</v>
      </c>
      <c r="V7" s="19">
        <v>3455.719819698626</v>
      </c>
      <c r="W7" s="16">
        <v>1</v>
      </c>
      <c r="X7" s="18">
        <v>244.931485568201</v>
      </c>
      <c r="Y7" s="19">
        <v>1</v>
      </c>
      <c r="Z7" s="19">
        <v>4884.8718738617999</v>
      </c>
      <c r="AA7" s="16">
        <v>1</v>
      </c>
      <c r="AB7" s="18">
        <v>92.866008709465845</v>
      </c>
      <c r="AC7" s="19">
        <v>1</v>
      </c>
      <c r="AD7" s="19">
        <v>4154.5202521818819</v>
      </c>
      <c r="AE7" s="16">
        <v>1</v>
      </c>
      <c r="AF7" s="18">
        <v>7.5859812343271606</v>
      </c>
      <c r="AG7" s="19">
        <v>1</v>
      </c>
      <c r="AH7" s="19">
        <v>419.14878445176032</v>
      </c>
      <c r="AI7" s="16">
        <v>1</v>
      </c>
    </row>
    <row r="8" spans="2:35" x14ac:dyDescent="0.2">
      <c r="B8" s="4">
        <v>8000</v>
      </c>
      <c r="C8" s="8">
        <v>1148.7785210060481</v>
      </c>
      <c r="D8" s="9">
        <v>6073.5280605697226</v>
      </c>
      <c r="E8" s="38">
        <v>638.30889539550435</v>
      </c>
      <c r="F8" s="38">
        <v>5561.0584349593464</v>
      </c>
      <c r="G8" s="8">
        <v>263.41651956111235</v>
      </c>
      <c r="H8" s="9">
        <v>5183.166059124982</v>
      </c>
      <c r="I8" s="8">
        <v>59.326618111571264</v>
      </c>
      <c r="J8" s="9">
        <v>4974.076157675725</v>
      </c>
      <c r="K8" s="8">
        <f>$D$2-C8</f>
        <v>1973.4214789939517</v>
      </c>
      <c r="L8" s="14">
        <f t="shared" si="0"/>
        <v>0.6320612001133662</v>
      </c>
      <c r="M8" s="8">
        <f t="shared" si="1"/>
        <v>2483.8911046044955</v>
      </c>
      <c r="N8" s="14">
        <f t="shared" si="2"/>
        <v>0.7955579734176208</v>
      </c>
      <c r="O8" s="8">
        <f>$D$2-G8</f>
        <v>2858.7834804388876</v>
      </c>
      <c r="P8" s="14">
        <f t="shared" si="0"/>
        <v>0.91563111922326812</v>
      </c>
      <c r="Q8" s="8">
        <f>$D$2-I8</f>
        <v>3062.8733818884284</v>
      </c>
      <c r="R8" s="14">
        <f t="shared" ref="R8" si="4">Q8/$D$2</f>
        <v>0.98099845682160935</v>
      </c>
      <c r="T8" s="13">
        <v>364972.32710880216</v>
      </c>
      <c r="U8" s="20">
        <v>1458.1892882755969</v>
      </c>
      <c r="V8" s="20">
        <v>5039093.6244794196</v>
      </c>
      <c r="W8" s="14">
        <v>1458.189288308356</v>
      </c>
      <c r="X8" s="13">
        <v>271672.35211270442</v>
      </c>
      <c r="Y8" s="20">
        <v>1109.176925467418</v>
      </c>
      <c r="Z8" s="20">
        <v>5418187.1662728759</v>
      </c>
      <c r="AA8" s="14">
        <v>1109.1769254511596</v>
      </c>
      <c r="AB8" s="13">
        <v>137300.49162653339</v>
      </c>
      <c r="AC8" s="20">
        <v>1478.4795161820962</v>
      </c>
      <c r="AD8" s="20">
        <v>6142373.0922071543</v>
      </c>
      <c r="AE8" s="14">
        <v>1478.4795161321663</v>
      </c>
      <c r="AF8" s="13">
        <v>114122.70666330417</v>
      </c>
      <c r="AG8" s="20">
        <v>15043.895198012086</v>
      </c>
      <c r="AH8" s="20">
        <v>6305630.3856064333</v>
      </c>
      <c r="AI8" s="14">
        <v>15043.895197868922</v>
      </c>
    </row>
    <row r="11" spans="2:35" x14ac:dyDescent="0.2">
      <c r="B11" t="s">
        <v>6</v>
      </c>
      <c r="D11" s="10">
        <v>4162.8999999999996</v>
      </c>
      <c r="E11" t="s">
        <v>9</v>
      </c>
      <c r="F11" s="10"/>
    </row>
    <row r="12" spans="2:35" x14ac:dyDescent="0.2">
      <c r="T12" t="s">
        <v>4</v>
      </c>
      <c r="V12" t="s">
        <v>5</v>
      </c>
      <c r="X12" t="s">
        <v>4</v>
      </c>
      <c r="Z12" t="s">
        <v>5</v>
      </c>
      <c r="AB12" t="s">
        <v>4</v>
      </c>
      <c r="AD12" t="s">
        <v>5</v>
      </c>
      <c r="AF12" t="s">
        <v>4</v>
      </c>
      <c r="AH12" t="s">
        <v>5</v>
      </c>
    </row>
    <row r="13" spans="2:35" x14ac:dyDescent="0.2">
      <c r="B13" s="3" t="s">
        <v>8</v>
      </c>
      <c r="C13" s="1" t="s">
        <v>4</v>
      </c>
      <c r="D13" s="2" t="s">
        <v>5</v>
      </c>
      <c r="E13" s="1" t="s">
        <v>4</v>
      </c>
      <c r="F13" s="2" t="s">
        <v>5</v>
      </c>
      <c r="G13" s="1" t="s">
        <v>4</v>
      </c>
      <c r="H13" s="2" t="s">
        <v>5</v>
      </c>
      <c r="I13" s="1" t="s">
        <v>4</v>
      </c>
      <c r="J13" s="2" t="s">
        <v>5</v>
      </c>
      <c r="K13" s="11" t="s">
        <v>10</v>
      </c>
      <c r="L13" s="12" t="s">
        <v>11</v>
      </c>
      <c r="M13" s="11" t="s">
        <v>10</v>
      </c>
      <c r="N13" s="12" t="s">
        <v>11</v>
      </c>
      <c r="O13" s="11" t="s">
        <v>12</v>
      </c>
      <c r="P13" s="12" t="s">
        <v>13</v>
      </c>
      <c r="Q13" s="11" t="s">
        <v>12</v>
      </c>
      <c r="R13" s="12" t="s">
        <v>13</v>
      </c>
      <c r="T13" s="11">
        <f t="array" ref="T13:U17">LINEST(C15:C17,B15:B17,TRUE,TRUE)</f>
        <v>-0.24105804029884981</v>
      </c>
      <c r="U13" s="17">
        <v>3891.7492902270187</v>
      </c>
      <c r="V13" s="17">
        <f t="array" ref="V13:W17">LINEST(D15:D17,B15:B17,TRUE,TRUE)</f>
        <v>0.76618797575992759</v>
      </c>
      <c r="W13" s="12">
        <v>-282.19481752757838</v>
      </c>
      <c r="X13" s="11">
        <f t="array" ref="X13:Y17">LINEST(E15:E17,B15:B17,TRUE,TRUE)</f>
        <v>-0.21713342098100652</v>
      </c>
      <c r="Y13" s="17">
        <v>3141.15405695247</v>
      </c>
      <c r="Z13" s="17">
        <f t="array" ref="Z13:AA17">LINEST(F15:F17,B15:B17,TRUE,TRUE)</f>
        <v>0.79011259507786047</v>
      </c>
      <c r="AA13" s="12">
        <v>-1034.7900508027465</v>
      </c>
      <c r="AB13" s="11">
        <f t="array" ref="AB13:AC17">LINEST(G15:G17,B15:B17,TRUE,TRUE)</f>
        <v>-0.19159772918198345</v>
      </c>
      <c r="AC13" s="17">
        <v>2372.0521056425005</v>
      </c>
      <c r="AD13" s="17">
        <f t="array" ref="AD13:AE17">LINEST(H15:H17,B15:B17,TRUE,TRUE)</f>
        <v>0.81564828687695912</v>
      </c>
      <c r="AE13" s="12">
        <v>-1806.8920021129825</v>
      </c>
      <c r="AF13" s="11">
        <f t="array" ref="AF13:AG17">LINEST(I15:I17,B15:B17,TRUE,TRUE)</f>
        <v>-0.25428159703921488</v>
      </c>
      <c r="AG13" s="17">
        <v>2277.6779904715659</v>
      </c>
      <c r="AH13" s="17">
        <f t="array" ref="AH13:AI17">LINEST(J15:J17,B15:B17,TRUE,TRUE)</f>
        <v>0.75296441901994304</v>
      </c>
      <c r="AI13" s="12">
        <v>-1906.2661172849644</v>
      </c>
    </row>
    <row r="14" spans="2:35" x14ac:dyDescent="0.2">
      <c r="B14" s="4"/>
      <c r="C14" s="62" t="s">
        <v>0</v>
      </c>
      <c r="D14" s="63"/>
      <c r="E14" s="62" t="s">
        <v>29</v>
      </c>
      <c r="F14" s="63"/>
      <c r="G14" s="62" t="s">
        <v>1</v>
      </c>
      <c r="H14" s="63"/>
      <c r="I14" s="62" t="s">
        <v>2</v>
      </c>
      <c r="J14" s="63"/>
      <c r="K14" s="62" t="s">
        <v>0</v>
      </c>
      <c r="L14" s="63"/>
      <c r="M14" s="62" t="s">
        <v>29</v>
      </c>
      <c r="N14" s="63"/>
      <c r="O14" s="62" t="s">
        <v>1</v>
      </c>
      <c r="P14" s="63"/>
      <c r="Q14" s="62" t="s">
        <v>2</v>
      </c>
      <c r="R14" s="63"/>
      <c r="T14" s="18">
        <v>1.2142637246458124E-2</v>
      </c>
      <c r="U14" s="19">
        <v>75.505986867913037</v>
      </c>
      <c r="V14" s="19">
        <v>1.2142637245929287E-2</v>
      </c>
      <c r="W14" s="16">
        <v>75.505986864624589</v>
      </c>
      <c r="X14" s="18">
        <v>8.1236643364450273E-3</v>
      </c>
      <c r="Y14" s="19">
        <v>50.514997710721325</v>
      </c>
      <c r="Z14" s="19">
        <v>8.1236643360708162E-3</v>
      </c>
      <c r="AA14" s="16">
        <v>50.51499770839439</v>
      </c>
      <c r="AB14" s="18">
        <v>1.2625436904251842E-2</v>
      </c>
      <c r="AC14" s="19">
        <v>78.508157144542082</v>
      </c>
      <c r="AD14" s="19">
        <v>1.2625436904143156E-2</v>
      </c>
      <c r="AE14" s="16">
        <v>78.508157143866256</v>
      </c>
      <c r="AF14" s="18">
        <v>6.1232755248376937E-2</v>
      </c>
      <c r="AG14" s="19">
        <v>380.76074577775017</v>
      </c>
      <c r="AH14" s="19">
        <v>6.1232755248395311E-2</v>
      </c>
      <c r="AI14" s="16">
        <v>380.76074577786443</v>
      </c>
    </row>
    <row r="15" spans="2:35" x14ac:dyDescent="0.2">
      <c r="B15" s="3">
        <v>4000</v>
      </c>
      <c r="C15" s="6">
        <v>2941.5382387974482</v>
      </c>
      <c r="D15" s="7">
        <v>2796.5781952773514</v>
      </c>
      <c r="E15" s="37">
        <v>2282.000772611349</v>
      </c>
      <c r="F15" s="37">
        <v>2135.0407290911699</v>
      </c>
      <c r="G15" s="6">
        <v>1620.239787705179</v>
      </c>
      <c r="H15" s="7">
        <v>1470.2797441853422</v>
      </c>
      <c r="I15" s="6">
        <v>1331.257097766452</v>
      </c>
      <c r="J15" s="7">
        <v>1176.297054246575</v>
      </c>
      <c r="K15" s="15">
        <f>$D$11-C15</f>
        <v>1221.3617612025514</v>
      </c>
      <c r="L15" s="12">
        <f>K15/$D$11</f>
        <v>0.29339204910099964</v>
      </c>
      <c r="M15" s="15">
        <f>$D$11-E15</f>
        <v>1880.8992273886506</v>
      </c>
      <c r="N15" s="12">
        <f>M15/$D$11</f>
        <v>0.45182426370766793</v>
      </c>
      <c r="O15" s="15">
        <f>$D$11-G15</f>
        <v>2542.6602122948207</v>
      </c>
      <c r="P15" s="12">
        <f>O15/$D$11</f>
        <v>0.61079060565827215</v>
      </c>
      <c r="Q15" s="15">
        <f>$D$11-I15</f>
        <v>2831.6429022335478</v>
      </c>
      <c r="R15" s="12">
        <f>Q15/$D$11</f>
        <v>0.68020920565796639</v>
      </c>
      <c r="T15" s="18">
        <v>0.99746905777691508</v>
      </c>
      <c r="U15" s="19">
        <v>34.344564553835539</v>
      </c>
      <c r="V15" s="19">
        <v>0.9997489002312312</v>
      </c>
      <c r="W15" s="16">
        <v>34.344564552339762</v>
      </c>
      <c r="X15" s="18">
        <v>0.99860220619181117</v>
      </c>
      <c r="Y15" s="19">
        <v>22.977192561534366</v>
      </c>
      <c r="Z15" s="19">
        <v>0.99989429876463287</v>
      </c>
      <c r="AA15" s="16">
        <v>22.977192560475942</v>
      </c>
      <c r="AB15" s="18">
        <v>0.99567655044905778</v>
      </c>
      <c r="AC15" s="19">
        <v>35.71012820175747</v>
      </c>
      <c r="AD15" s="19">
        <v>0.99976045730549734</v>
      </c>
      <c r="AE15" s="16">
        <v>35.710128201450061</v>
      </c>
      <c r="AF15" s="18">
        <v>0.94519035089554815</v>
      </c>
      <c r="AG15" s="19">
        <v>173.19238586745394</v>
      </c>
      <c r="AH15" s="19">
        <v>0.9934301413312262</v>
      </c>
      <c r="AI15" s="16">
        <v>173.19238586750589</v>
      </c>
    </row>
    <row r="16" spans="2:35" x14ac:dyDescent="0.2">
      <c r="B16" s="5">
        <v>6000</v>
      </c>
      <c r="C16" s="6">
        <v>2417.3588289022618</v>
      </c>
      <c r="D16" s="7">
        <v>4286.8908175015495</v>
      </c>
      <c r="E16" s="37">
        <v>1819.59273190062</v>
      </c>
      <c r="F16" s="37">
        <v>3687.1247204994702</v>
      </c>
      <c r="G16" s="6">
        <v>1193.3085329693738</v>
      </c>
      <c r="H16" s="7">
        <v>3057.8405215677972</v>
      </c>
      <c r="I16" s="6">
        <v>610.57741733278533</v>
      </c>
      <c r="J16" s="7">
        <v>2470.1094059311595</v>
      </c>
      <c r="K16" s="6">
        <f>$D$11-C16</f>
        <v>1745.5411710977378</v>
      </c>
      <c r="L16" s="16">
        <f t="shared" ref="L16:P17" si="5">K16/$D$11</f>
        <v>0.41930893634191019</v>
      </c>
      <c r="M16" s="6">
        <f>$D$11-E16</f>
        <v>2343.3072680993796</v>
      </c>
      <c r="N16" s="16">
        <f t="shared" ref="N16:N17" si="6">M16/$D$11</f>
        <v>0.56290260830175598</v>
      </c>
      <c r="O16" s="6">
        <f>$D$11-G16</f>
        <v>2969.5914670306256</v>
      </c>
      <c r="P16" s="16">
        <f t="shared" si="5"/>
        <v>0.71334681761047003</v>
      </c>
      <c r="Q16" s="6">
        <f>$D$11-I16</f>
        <v>3552.3225826672142</v>
      </c>
      <c r="R16" s="16">
        <f t="shared" ref="R16" si="7">Q16/$D$11</f>
        <v>0.85332882910163932</v>
      </c>
      <c r="T16" s="18">
        <v>394.10977013972507</v>
      </c>
      <c r="U16" s="19">
        <v>1</v>
      </c>
      <c r="V16" s="19">
        <v>3981.4807681155994</v>
      </c>
      <c r="W16" s="16">
        <v>1</v>
      </c>
      <c r="X16" s="18">
        <v>714.41309894316998</v>
      </c>
      <c r="Y16" s="19">
        <v>1</v>
      </c>
      <c r="Z16" s="19">
        <v>9459.6273666180041</v>
      </c>
      <c r="AA16" s="16">
        <v>1</v>
      </c>
      <c r="AB16" s="18">
        <v>230.29678933851716</v>
      </c>
      <c r="AC16" s="19">
        <v>1</v>
      </c>
      <c r="AD16" s="19">
        <v>4173.6211550157168</v>
      </c>
      <c r="AE16" s="16">
        <v>1</v>
      </c>
      <c r="AF16" s="18">
        <v>17.244962635945349</v>
      </c>
      <c r="AG16" s="19">
        <v>1</v>
      </c>
      <c r="AH16" s="19">
        <v>151.21027580897095</v>
      </c>
      <c r="AI16" s="16">
        <v>1</v>
      </c>
    </row>
    <row r="17" spans="2:35" x14ac:dyDescent="0.2">
      <c r="B17" s="4">
        <v>8000</v>
      </c>
      <c r="C17" s="8">
        <v>1977.3060776020495</v>
      </c>
      <c r="D17" s="9">
        <v>5861.3300983170602</v>
      </c>
      <c r="E17" s="38">
        <v>1413.4670886873232</v>
      </c>
      <c r="F17" s="38">
        <v>5295.4911094026111</v>
      </c>
      <c r="G17" s="8">
        <v>853.84887097724538</v>
      </c>
      <c r="H17" s="9">
        <v>4732.8728916931777</v>
      </c>
      <c r="I17" s="8">
        <v>314.13070960959277</v>
      </c>
      <c r="J17" s="9">
        <v>4188.1547303263469</v>
      </c>
      <c r="K17" s="8">
        <f>$D$11-C17</f>
        <v>2185.5939223979503</v>
      </c>
      <c r="L17" s="14">
        <f t="shared" si="5"/>
        <v>0.52501715688533246</v>
      </c>
      <c r="M17" s="8">
        <f>$D$11-E17</f>
        <v>2749.4329113126764</v>
      </c>
      <c r="N17" s="14">
        <f t="shared" si="6"/>
        <v>0.66046095541874095</v>
      </c>
      <c r="O17" s="8">
        <f>$D$11-G17</f>
        <v>3309.0511290227541</v>
      </c>
      <c r="P17" s="14">
        <f t="shared" si="5"/>
        <v>0.79489085229593659</v>
      </c>
      <c r="Q17" s="8">
        <f>$D$11-I17</f>
        <v>3848.7692903904067</v>
      </c>
      <c r="R17" s="14">
        <f t="shared" ref="R17" si="8">Q17/$D$11</f>
        <v>0.92454041422815991</v>
      </c>
      <c r="T17" s="13">
        <v>464871.83034177462</v>
      </c>
      <c r="U17" s="20">
        <v>1179.5491143925765</v>
      </c>
      <c r="V17" s="20">
        <v>4696352.1135927588</v>
      </c>
      <c r="W17" s="14">
        <v>1179.5491142898329</v>
      </c>
      <c r="X17" s="13">
        <v>377175.38005531981</v>
      </c>
      <c r="Y17" s="20">
        <v>527.95137800983025</v>
      </c>
      <c r="Z17" s="20">
        <v>4994223.3032053672</v>
      </c>
      <c r="AA17" s="14">
        <v>527.95137796119093</v>
      </c>
      <c r="AB17" s="13">
        <v>293677.51862154121</v>
      </c>
      <c r="AC17" s="20">
        <v>1275.2132561859542</v>
      </c>
      <c r="AD17" s="20">
        <v>5322257.0230825422</v>
      </c>
      <c r="AE17" s="14">
        <v>1275.2132561639989</v>
      </c>
      <c r="AF17" s="13">
        <v>517273.04474250897</v>
      </c>
      <c r="AG17" s="20">
        <v>29995.602522461057</v>
      </c>
      <c r="AH17" s="20">
        <v>4535643.3304803222</v>
      </c>
      <c r="AI17" s="14">
        <v>29995.602522479054</v>
      </c>
    </row>
    <row r="20" spans="2:35" x14ac:dyDescent="0.2">
      <c r="B20" t="s">
        <v>7</v>
      </c>
      <c r="D20" s="10">
        <v>6244.4</v>
      </c>
      <c r="E20" t="s">
        <v>9</v>
      </c>
      <c r="F20" s="10"/>
    </row>
    <row r="21" spans="2:35" x14ac:dyDescent="0.2">
      <c r="T21" t="s">
        <v>4</v>
      </c>
      <c r="V21" t="s">
        <v>5</v>
      </c>
      <c r="X21" t="s">
        <v>4</v>
      </c>
      <c r="Z21" t="s">
        <v>5</v>
      </c>
      <c r="AB21" t="s">
        <v>4</v>
      </c>
      <c r="AD21" t="s">
        <v>5</v>
      </c>
      <c r="AF21" t="s">
        <v>4</v>
      </c>
      <c r="AH21" t="s">
        <v>5</v>
      </c>
    </row>
    <row r="22" spans="2:35" x14ac:dyDescent="0.2">
      <c r="B22" s="3" t="s">
        <v>8</v>
      </c>
      <c r="C22" s="1" t="s">
        <v>4</v>
      </c>
      <c r="D22" s="2" t="s">
        <v>5</v>
      </c>
      <c r="E22" s="1" t="s">
        <v>4</v>
      </c>
      <c r="F22" s="2" t="s">
        <v>5</v>
      </c>
      <c r="G22" s="1" t="s">
        <v>4</v>
      </c>
      <c r="H22" s="2" t="s">
        <v>5</v>
      </c>
      <c r="I22" s="1" t="s">
        <v>4</v>
      </c>
      <c r="J22" s="2" t="s">
        <v>5</v>
      </c>
      <c r="K22" s="11" t="s">
        <v>10</v>
      </c>
      <c r="L22" s="12" t="s">
        <v>11</v>
      </c>
      <c r="M22" s="11" t="s">
        <v>10</v>
      </c>
      <c r="N22" s="12" t="s">
        <v>11</v>
      </c>
      <c r="O22" s="11" t="s">
        <v>12</v>
      </c>
      <c r="P22" s="12" t="s">
        <v>13</v>
      </c>
      <c r="Q22" s="11" t="s">
        <v>12</v>
      </c>
      <c r="R22" s="12" t="s">
        <v>13</v>
      </c>
      <c r="T22" s="11">
        <f t="array" ref="T22:U26">LINEST(C24:C26,B24:B26,TRUE,TRUE)</f>
        <v>-0.27502523731477058</v>
      </c>
      <c r="U22" s="17">
        <v>5975.3418703516254</v>
      </c>
      <c r="V22" s="17">
        <f t="array" ref="V22:W26">LINEST(D24:D26,B24:B26,TRUE,TRUE)</f>
        <v>0.73222077874392111</v>
      </c>
      <c r="W22" s="12">
        <v>-280.05327509818108</v>
      </c>
      <c r="X22" s="11">
        <f t="array" ref="X22:Y26">LINEST(E24:E26,B24:B26,TRUE,TRUE)</f>
        <v>-0.25628444445228793</v>
      </c>
      <c r="Y22" s="17">
        <v>5217.6516080204583</v>
      </c>
      <c r="Z22" s="17">
        <f t="array" ref="Z22:AA26">LINEST(F24:F26,B24:B26,TRUE,TRUE)</f>
        <v>0.75096157160635657</v>
      </c>
      <c r="AA22" s="12">
        <v>-1039.7435374290721</v>
      </c>
      <c r="AB22" s="11">
        <f t="array" ref="AB22:AC26">LINEST(G24:G26,B24:B26,TRUE,TRUE)</f>
        <v>-0.25046909218297148</v>
      </c>
      <c r="AC22" s="17">
        <v>4466.1282554302679</v>
      </c>
      <c r="AD22" s="17">
        <f t="array" ref="AD22:AE26">LINEST(H24:H26,B24:B26,TRUE,TRUE)</f>
        <v>0.75677692387572471</v>
      </c>
      <c r="AE22" s="12">
        <v>-1794.2668900194681</v>
      </c>
      <c r="AF22" s="11">
        <f t="array" ref="AF22:AG26">LINEST(I24:I26,B24:B26,TRUE,TRUE)</f>
        <v>-0.41801935688897257</v>
      </c>
      <c r="AG22" s="17">
        <v>4812.2775209213869</v>
      </c>
      <c r="AH22" s="17">
        <f t="array" ref="AH22:AI26">LINEST(J24:J26,B24:B26,TRUE,TRUE)</f>
        <v>0.58922665917012396</v>
      </c>
      <c r="AI22" s="12">
        <v>-1453.1176245300517</v>
      </c>
    </row>
    <row r="23" spans="2:35" x14ac:dyDescent="0.2">
      <c r="B23" s="4"/>
      <c r="C23" s="62" t="s">
        <v>0</v>
      </c>
      <c r="D23" s="63"/>
      <c r="E23" s="62" t="s">
        <v>29</v>
      </c>
      <c r="F23" s="63"/>
      <c r="G23" s="62" t="s">
        <v>1</v>
      </c>
      <c r="H23" s="63"/>
      <c r="I23" s="62" t="s">
        <v>2</v>
      </c>
      <c r="J23" s="63"/>
      <c r="K23" s="62" t="s">
        <v>0</v>
      </c>
      <c r="L23" s="63"/>
      <c r="M23" s="62" t="s">
        <v>29</v>
      </c>
      <c r="N23" s="63"/>
      <c r="O23" s="62" t="s">
        <v>1</v>
      </c>
      <c r="P23" s="63"/>
      <c r="Q23" s="62" t="s">
        <v>2</v>
      </c>
      <c r="R23" s="63"/>
      <c r="T23" s="18">
        <v>1.055648593708969E-2</v>
      </c>
      <c r="U23" s="19">
        <v>65.642897202558018</v>
      </c>
      <c r="V23" s="19">
        <v>1.0556485936672914E-2</v>
      </c>
      <c r="W23" s="16">
        <v>65.642897199966399</v>
      </c>
      <c r="X23" s="18">
        <v>8.2954038429625711E-3</v>
      </c>
      <c r="Y23" s="19">
        <v>51.58291736117436</v>
      </c>
      <c r="Z23" s="19">
        <v>8.2954038425326511E-3</v>
      </c>
      <c r="AA23" s="16">
        <v>51.582917358501014</v>
      </c>
      <c r="AB23" s="18">
        <v>1.6621468497231583E-2</v>
      </c>
      <c r="AC23" s="19">
        <v>103.35649139510232</v>
      </c>
      <c r="AD23" s="19">
        <v>1.6621468496854398E-2</v>
      </c>
      <c r="AE23" s="16">
        <v>103.35649139275689</v>
      </c>
      <c r="AF23" s="18">
        <v>6.0456083781047047E-2</v>
      </c>
      <c r="AG23" s="19">
        <v>375.9312063274138</v>
      </c>
      <c r="AH23" s="19">
        <v>6.0456083780764718E-2</v>
      </c>
      <c r="AI23" s="16">
        <v>375.9312063256582</v>
      </c>
    </row>
    <row r="24" spans="2:35" x14ac:dyDescent="0.2">
      <c r="B24" s="3">
        <v>4000</v>
      </c>
      <c r="C24" s="6">
        <v>4887.4305010874932</v>
      </c>
      <c r="D24" s="7">
        <v>2661.0194198719728</v>
      </c>
      <c r="E24" s="37">
        <v>4202.0925374948492</v>
      </c>
      <c r="F24" s="37">
        <v>1973.6814562794011</v>
      </c>
      <c r="G24" s="6">
        <v>3483.4447053207887</v>
      </c>
      <c r="H24" s="7">
        <v>1252.0336241054033</v>
      </c>
      <c r="I24" s="6">
        <v>3210.0087658557723</v>
      </c>
      <c r="J24" s="7">
        <v>973.59768464039485</v>
      </c>
      <c r="K24" s="15">
        <f>$D$20-C24</f>
        <v>1356.9694989125064</v>
      </c>
      <c r="L24" s="12">
        <f>K24/$D$20</f>
        <v>0.21730982943317317</v>
      </c>
      <c r="M24" s="15">
        <f>$D$20-E24</f>
        <v>2042.3074625051504</v>
      </c>
      <c r="N24" s="12">
        <f>M24/$D$20</f>
        <v>0.32706224176944954</v>
      </c>
      <c r="O24" s="15">
        <f>$D$20-G24</f>
        <v>2760.955294679211</v>
      </c>
      <c r="P24" s="12">
        <f>O24/$D$20</f>
        <v>0.44214901266402074</v>
      </c>
      <c r="Q24" s="15">
        <f>$D$20-I24</f>
        <v>3034.3912341442274</v>
      </c>
      <c r="R24" s="12">
        <f>Q24/$D$20</f>
        <v>0.48593799790920306</v>
      </c>
      <c r="T24" s="18">
        <v>0.99852885909230593</v>
      </c>
      <c r="U24" s="19">
        <v>29.858251166466175</v>
      </c>
      <c r="V24" s="19">
        <v>0.99979219098240635</v>
      </c>
      <c r="W24" s="16">
        <v>29.858251165287356</v>
      </c>
      <c r="X24" s="18">
        <v>0.99895341186275299</v>
      </c>
      <c r="Y24" s="19">
        <v>23.462945240159115</v>
      </c>
      <c r="Z24" s="19">
        <v>0.99987799246606812</v>
      </c>
      <c r="AA24" s="16">
        <v>23.462945238943121</v>
      </c>
      <c r="AB24" s="18">
        <v>0.99561547916306392</v>
      </c>
      <c r="AC24" s="19">
        <v>47.012612350684094</v>
      </c>
      <c r="AD24" s="19">
        <v>0.99951783734608846</v>
      </c>
      <c r="AE24" s="16">
        <v>47.012612349617257</v>
      </c>
      <c r="AF24" s="18">
        <v>0.97951211866249233</v>
      </c>
      <c r="AG24" s="19">
        <v>170.99562722224164</v>
      </c>
      <c r="AH24" s="19">
        <v>0.9895824111377246</v>
      </c>
      <c r="AI24" s="16">
        <v>170.9956272214431</v>
      </c>
    </row>
    <row r="25" spans="2:35" x14ac:dyDescent="0.2">
      <c r="B25" s="5">
        <v>6000</v>
      </c>
      <c r="C25" s="6">
        <v>4300.8112864731011</v>
      </c>
      <c r="D25" s="7">
        <v>4088.8922373764062</v>
      </c>
      <c r="E25" s="37">
        <v>3660.7875267396471</v>
      </c>
      <c r="F25" s="37">
        <v>3446.8684776429764</v>
      </c>
      <c r="G25" s="6">
        <v>2924.9280650876249</v>
      </c>
      <c r="H25" s="7">
        <v>2708.0090159909369</v>
      </c>
      <c r="I25" s="6">
        <v>2164.5440346069995</v>
      </c>
      <c r="J25" s="7">
        <v>1942.6249855107915</v>
      </c>
      <c r="K25" s="6">
        <f>$D$20-C25</f>
        <v>1943.5887135268986</v>
      </c>
      <c r="L25" s="16">
        <f t="shared" ref="L25:P26" si="9">K25/$D$20</f>
        <v>0.31125307692122522</v>
      </c>
      <c r="M25" s="6">
        <f>$D$20-E25</f>
        <v>2583.6124732603525</v>
      </c>
      <c r="N25" s="16">
        <f t="shared" ref="N25:N26" si="10">M25/$D$20</f>
        <v>0.41374871456991108</v>
      </c>
      <c r="O25" s="6">
        <f>$D$20-G25</f>
        <v>3319.4719349123748</v>
      </c>
      <c r="P25" s="16">
        <f t="shared" si="9"/>
        <v>0.53159181585298432</v>
      </c>
      <c r="Q25" s="6">
        <f>$D$20-I25</f>
        <v>4079.8559653930001</v>
      </c>
      <c r="R25" s="16">
        <f t="shared" ref="R25" si="11">Q25/$D$20</f>
        <v>0.65336236714384099</v>
      </c>
      <c r="T25" s="18">
        <v>678.74454028839125</v>
      </c>
      <c r="U25" s="19">
        <v>1</v>
      </c>
      <c r="V25" s="19">
        <v>4811.1107138641955</v>
      </c>
      <c r="W25" s="16">
        <v>1</v>
      </c>
      <c r="X25" s="18">
        <v>954.48570102316239</v>
      </c>
      <c r="Y25" s="19">
        <v>1</v>
      </c>
      <c r="Z25" s="19">
        <v>8195.2151661790831</v>
      </c>
      <c r="AA25" s="16">
        <v>1</v>
      </c>
      <c r="AB25" s="18">
        <v>227.07509353720249</v>
      </c>
      <c r="AC25" s="19">
        <v>1</v>
      </c>
      <c r="AD25" s="19">
        <v>2072.9889161623846</v>
      </c>
      <c r="AE25" s="16">
        <v>1</v>
      </c>
      <c r="AF25" s="18">
        <v>47.809341655511922</v>
      </c>
      <c r="AG25" s="19">
        <v>1</v>
      </c>
      <c r="AH25" s="19">
        <v>94.991501797622007</v>
      </c>
      <c r="AI25" s="16">
        <v>1</v>
      </c>
    </row>
    <row r="26" spans="2:35" x14ac:dyDescent="0.2">
      <c r="B26" s="4">
        <v>8000</v>
      </c>
      <c r="C26" s="8">
        <v>3787.3295518284112</v>
      </c>
      <c r="D26" s="9">
        <v>5589.9025348476562</v>
      </c>
      <c r="E26" s="38">
        <v>3176.9547596856978</v>
      </c>
      <c r="F26" s="38">
        <v>4977.5277427048268</v>
      </c>
      <c r="G26" s="8">
        <v>2481.5683365889031</v>
      </c>
      <c r="H26" s="9">
        <v>4279.1413196083013</v>
      </c>
      <c r="I26" s="8">
        <v>1537.9313382998826</v>
      </c>
      <c r="J26" s="9">
        <v>3330.5043213208896</v>
      </c>
      <c r="K26" s="8">
        <f>$D$20-C26</f>
        <v>2457.0704481715884</v>
      </c>
      <c r="L26" s="14">
        <f t="shared" si="9"/>
        <v>0.39348383322202107</v>
      </c>
      <c r="M26" s="8">
        <f>$D$20-E26</f>
        <v>3067.4452403143018</v>
      </c>
      <c r="N26" s="14">
        <f t="shared" si="10"/>
        <v>0.49123138176835279</v>
      </c>
      <c r="O26" s="8">
        <f>$D$20-G26</f>
        <v>3762.8316634110965</v>
      </c>
      <c r="P26" s="14">
        <f t="shared" si="9"/>
        <v>0.60259298946433548</v>
      </c>
      <c r="Q26" s="8">
        <f>$D$20-I26</f>
        <v>4706.4686617001171</v>
      </c>
      <c r="R26" s="14">
        <f t="shared" ref="R26" si="12">Q26/$D$20</f>
        <v>0.75371031031005664</v>
      </c>
      <c r="T26" s="13">
        <v>605111.04928036651</v>
      </c>
      <c r="U26" s="20">
        <v>891.51516271977869</v>
      </c>
      <c r="V26" s="20">
        <v>4289178.1505948314</v>
      </c>
      <c r="W26" s="14">
        <v>891.5151626493838</v>
      </c>
      <c r="X26" s="13">
        <v>525453.73174574249</v>
      </c>
      <c r="Y26" s="20">
        <v>550.50979934270526</v>
      </c>
      <c r="Z26" s="20">
        <v>4511546.2562359096</v>
      </c>
      <c r="AA26" s="14">
        <v>550.50979928564368</v>
      </c>
      <c r="AB26" s="13">
        <v>501878.12911169452</v>
      </c>
      <c r="AC26" s="20">
        <v>2210.1857200356944</v>
      </c>
      <c r="AD26" s="20">
        <v>4581690.5000864333</v>
      </c>
      <c r="AE26" s="14">
        <v>2210.1857199353849</v>
      </c>
      <c r="AF26" s="13">
        <v>1397921.4618709604</v>
      </c>
      <c r="AG26" s="20">
        <v>29239.504529127826</v>
      </c>
      <c r="AH26" s="20">
        <v>2777504.4470142811</v>
      </c>
      <c r="AI26" s="14">
        <v>29239.504528854734</v>
      </c>
    </row>
  </sheetData>
  <mergeCells count="24">
    <mergeCell ref="Q5:R5"/>
    <mergeCell ref="Q14:R14"/>
    <mergeCell ref="Q23:R23"/>
    <mergeCell ref="K5:L5"/>
    <mergeCell ref="K14:L14"/>
    <mergeCell ref="K23:L23"/>
    <mergeCell ref="O5:P5"/>
    <mergeCell ref="O14:P14"/>
    <mergeCell ref="O23:P23"/>
    <mergeCell ref="M5:N5"/>
    <mergeCell ref="M14:N14"/>
    <mergeCell ref="M23:N23"/>
    <mergeCell ref="C23:D23"/>
    <mergeCell ref="G23:H23"/>
    <mergeCell ref="I23:J23"/>
    <mergeCell ref="C5:D5"/>
    <mergeCell ref="G5:H5"/>
    <mergeCell ref="I5:J5"/>
    <mergeCell ref="C14:D14"/>
    <mergeCell ref="G14:H14"/>
    <mergeCell ref="I14:J14"/>
    <mergeCell ref="E5:F5"/>
    <mergeCell ref="E14:F14"/>
    <mergeCell ref="E23:F23"/>
  </mergeCells>
  <conditionalFormatting sqref="T3:V3">
    <cfRule type="duplicateValues" dxfId="89" priority="12"/>
  </conditionalFormatting>
  <conditionalFormatting sqref="T12:V12">
    <cfRule type="duplicateValues" dxfId="88" priority="11"/>
  </conditionalFormatting>
  <conditionalFormatting sqref="T21:V21">
    <cfRule type="duplicateValues" dxfId="87" priority="10"/>
  </conditionalFormatting>
  <conditionalFormatting sqref="AB3:AD3">
    <cfRule type="duplicateValues" dxfId="86" priority="9"/>
  </conditionalFormatting>
  <conditionalFormatting sqref="AB12:AD12">
    <cfRule type="duplicateValues" dxfId="85" priority="8"/>
  </conditionalFormatting>
  <conditionalFormatting sqref="AB21:AD21">
    <cfRule type="duplicateValues" dxfId="84" priority="7"/>
  </conditionalFormatting>
  <conditionalFormatting sqref="AF3:AH3">
    <cfRule type="duplicateValues" dxfId="83" priority="6"/>
  </conditionalFormatting>
  <conditionalFormatting sqref="AF12:AH12">
    <cfRule type="duplicateValues" dxfId="82" priority="5"/>
  </conditionalFormatting>
  <conditionalFormatting sqref="AF21:AH21">
    <cfRule type="duplicateValues" dxfId="81" priority="4"/>
  </conditionalFormatting>
  <conditionalFormatting sqref="X3:Z3">
    <cfRule type="duplicateValues" dxfId="80" priority="3"/>
  </conditionalFormatting>
  <conditionalFormatting sqref="X12:Z12">
    <cfRule type="duplicateValues" dxfId="79" priority="2"/>
  </conditionalFormatting>
  <conditionalFormatting sqref="X21:Z21">
    <cfRule type="duplicateValues" dxfId="78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T32"/>
  <sheetViews>
    <sheetView workbookViewId="0"/>
  </sheetViews>
  <sheetFormatPr defaultRowHeight="12.75" x14ac:dyDescent="0.2"/>
  <cols>
    <col min="1" max="1" width="3.625" customWidth="1"/>
    <col min="78" max="78" width="12" bestFit="1" customWidth="1"/>
  </cols>
  <sheetData>
    <row r="2" spans="2:98" x14ac:dyDescent="0.2">
      <c r="B2" t="s">
        <v>3</v>
      </c>
      <c r="D2">
        <v>3122.2</v>
      </c>
      <c r="E2" t="s">
        <v>9</v>
      </c>
      <c r="BZ2" t="s">
        <v>70</v>
      </c>
      <c r="CD2" t="s">
        <v>70</v>
      </c>
      <c r="CH2" t="s">
        <v>70</v>
      </c>
      <c r="CL2" t="s">
        <v>70</v>
      </c>
      <c r="CQ2">
        <f>Inddata!C9</f>
        <v>0</v>
      </c>
    </row>
    <row r="3" spans="2:98" x14ac:dyDescent="0.2">
      <c r="AJ3" t="s">
        <v>4</v>
      </c>
      <c r="AL3" t="s">
        <v>4</v>
      </c>
      <c r="AN3" t="s">
        <v>4</v>
      </c>
      <c r="AP3" t="s">
        <v>4</v>
      </c>
      <c r="AR3" t="s">
        <v>4</v>
      </c>
      <c r="AT3" t="s">
        <v>4</v>
      </c>
      <c r="AV3" t="s">
        <v>4</v>
      </c>
      <c r="AX3" t="s">
        <v>4</v>
      </c>
      <c r="AZ3" t="s">
        <v>4</v>
      </c>
      <c r="BB3" t="s">
        <v>4</v>
      </c>
      <c r="BD3" t="s">
        <v>4</v>
      </c>
      <c r="BF3" t="s">
        <v>4</v>
      </c>
      <c r="BI3" t="s">
        <v>66</v>
      </c>
      <c r="BM3" t="s">
        <v>67</v>
      </c>
      <c r="BQ3" t="s">
        <v>68</v>
      </c>
      <c r="BU3" t="s">
        <v>69</v>
      </c>
      <c r="BZ3" t="s">
        <v>66</v>
      </c>
      <c r="CD3" t="s">
        <v>67</v>
      </c>
      <c r="CH3" t="s">
        <v>68</v>
      </c>
      <c r="CL3" t="s">
        <v>69</v>
      </c>
    </row>
    <row r="4" spans="2:98" x14ac:dyDescent="0.2">
      <c r="B4" s="3" t="s">
        <v>8</v>
      </c>
      <c r="C4" s="1" t="s">
        <v>4</v>
      </c>
      <c r="D4" s="2" t="s">
        <v>5</v>
      </c>
      <c r="E4" s="1" t="s">
        <v>4</v>
      </c>
      <c r="F4" s="2" t="s">
        <v>5</v>
      </c>
      <c r="G4" s="1" t="s">
        <v>4</v>
      </c>
      <c r="H4" s="2" t="s">
        <v>5</v>
      </c>
      <c r="I4" s="39" t="s">
        <v>4</v>
      </c>
      <c r="J4" s="39" t="s">
        <v>5</v>
      </c>
      <c r="K4" s="1" t="s">
        <v>4</v>
      </c>
      <c r="L4" s="2" t="s">
        <v>5</v>
      </c>
      <c r="M4" s="39" t="s">
        <v>4</v>
      </c>
      <c r="N4" s="39" t="s">
        <v>5</v>
      </c>
      <c r="O4" s="1" t="s">
        <v>4</v>
      </c>
      <c r="P4" s="2" t="s">
        <v>5</v>
      </c>
      <c r="Q4" s="1" t="s">
        <v>4</v>
      </c>
      <c r="R4" s="2" t="s">
        <v>5</v>
      </c>
      <c r="S4" s="1" t="s">
        <v>4</v>
      </c>
      <c r="T4" s="2" t="s">
        <v>5</v>
      </c>
      <c r="U4" s="1" t="s">
        <v>4</v>
      </c>
      <c r="V4" s="2" t="s">
        <v>5</v>
      </c>
      <c r="W4" s="1" t="s">
        <v>4</v>
      </c>
      <c r="X4" s="2" t="s">
        <v>5</v>
      </c>
      <c r="Y4" s="1" t="s">
        <v>4</v>
      </c>
      <c r="Z4" s="2" t="s">
        <v>5</v>
      </c>
      <c r="AA4" s="11" t="s">
        <v>10</v>
      </c>
      <c r="AB4" s="12" t="s">
        <v>11</v>
      </c>
      <c r="AC4" s="11" t="s">
        <v>10</v>
      </c>
      <c r="AD4" s="12" t="s">
        <v>11</v>
      </c>
      <c r="AE4" s="11" t="s">
        <v>12</v>
      </c>
      <c r="AF4" s="12" t="s">
        <v>13</v>
      </c>
      <c r="AG4" s="11" t="s">
        <v>12</v>
      </c>
      <c r="AH4" s="12" t="s">
        <v>13</v>
      </c>
      <c r="AJ4" s="11">
        <f t="array" ref="AJ4:AK8">LINEST(C7:C9,$B$7:$B$9,TRUE,TRUE)</f>
        <v>-0.13811185797088019</v>
      </c>
      <c r="AK4" s="17">
        <v>1672.5132735489535</v>
      </c>
      <c r="AL4" s="17">
        <f t="array" ref="AL4:AM8">LINEST(E7:E9,$B$7:$B$9,TRUE,TRUE)</f>
        <v>-0.11795682298217214</v>
      </c>
      <c r="AM4" s="17">
        <v>1400.0001107924659</v>
      </c>
      <c r="AN4" s="17">
        <f t="array" ref="AN4:AO8">LINEST(G7:G9,$B$7:$B$9,TRUE,TRUE)</f>
        <v>-0.10112874020523922</v>
      </c>
      <c r="AO4" s="17">
        <v>1181.411858542202</v>
      </c>
      <c r="AP4" s="11">
        <f t="array" ref="AP4:AQ8">LINEST(I7:I9,$B$7:$B$9,TRUE,TRUE)</f>
        <v>-0.10277013109454199</v>
      </c>
      <c r="AQ4" s="17">
        <v>1037.2949731969481</v>
      </c>
      <c r="AR4" s="17">
        <f t="array" ref="AR4:AS8">LINEST(K7:K9,$B$7:$B$9,TRUE,TRUE)</f>
        <v>-8.2939164822007999E-2</v>
      </c>
      <c r="AS4" s="17">
        <v>822.77112890216597</v>
      </c>
      <c r="AT4" s="17">
        <f t="array" ref="AT4:AU8">LINEST(M7:M9,$B$7:$B$9,TRUE,TRUE)</f>
        <v>-6.8817508683661585E-2</v>
      </c>
      <c r="AU4" s="17">
        <v>668.47818572534118</v>
      </c>
      <c r="AV4" s="11">
        <f t="array" ref="AV4:AW8">LINEST(O7:O9,$B$7:$B$9,TRUE,TRUE)</f>
        <v>-5.6797145901649283E-2</v>
      </c>
      <c r="AW4" s="17">
        <v>513.00622237801019</v>
      </c>
      <c r="AX4" s="17">
        <f t="array" ref="AX4:AY8">LINEST(Q7:Q9,$B$7:$B$9,TRUE,TRUE)</f>
        <v>-4.4151702102555888E-2</v>
      </c>
      <c r="AY4" s="17">
        <v>390.20964208229731</v>
      </c>
      <c r="AZ4" s="17">
        <f t="array" ref="AZ4:BA8">LINEST(S7:S9,$B$7:$B$9,TRUE,TRUE)</f>
        <v>-3.3971281775269306E-2</v>
      </c>
      <c r="BA4" s="17">
        <v>296.18727046398885</v>
      </c>
      <c r="BB4" s="11">
        <f t="array" ref="BB4:BC8">LINEST(U7:U9,$B$7:$B$9,TRUE,TRUE)</f>
        <v>-1.4833571647175628E-2</v>
      </c>
      <c r="BC4" s="17">
        <v>141.80228002896584</v>
      </c>
      <c r="BD4" s="17">
        <f t="array" ref="BD4:BE8">LINEST(W7:W9,$B$7:$B$9,TRUE,TRUE)</f>
        <v>-9.6458358338463376E-3</v>
      </c>
      <c r="BE4" s="17">
        <v>97.485299894366619</v>
      </c>
      <c r="BF4" s="17">
        <f t="array" ref="BF4:BG8">LINEST(Y7:Y9,$B$7:$B$9,TRUE,TRUE)</f>
        <v>-5.9853305312962783E-3</v>
      </c>
      <c r="BG4" s="17">
        <v>65.882478748028689</v>
      </c>
      <c r="BH4" s="18"/>
      <c r="BI4">
        <v>6000</v>
      </c>
      <c r="BJ4">
        <f>AJ4</f>
        <v>-0.13811185797088019</v>
      </c>
      <c r="BK4">
        <f>AK4</f>
        <v>1672.5132735489535</v>
      </c>
      <c r="BM4">
        <v>6000</v>
      </c>
      <c r="BN4">
        <f>AP4</f>
        <v>-0.10277013109454199</v>
      </c>
      <c r="BO4">
        <f>AQ4</f>
        <v>1037.2949731969481</v>
      </c>
      <c r="BQ4">
        <v>6000</v>
      </c>
      <c r="BR4">
        <f>AV4</f>
        <v>-5.6797145901649283E-2</v>
      </c>
      <c r="BS4">
        <f>AW4</f>
        <v>513.00622237801019</v>
      </c>
      <c r="BU4">
        <v>6000</v>
      </c>
      <c r="BV4">
        <f>BB4</f>
        <v>-1.4833571647175628E-2</v>
      </c>
      <c r="BW4">
        <f>BC4</f>
        <v>141.80228002896584</v>
      </c>
      <c r="BZ4" s="46">
        <f t="array" ref="BZ4:CA8">LINEST(BJ4:BJ6,BI4:BI6,TRUE,TRUE)</f>
        <v>9.2457794414102425E-6</v>
      </c>
      <c r="CA4" s="46">
        <v>-0.1930320425840458</v>
      </c>
      <c r="CB4" s="30">
        <f t="array" ref="CB4:CC8">LINEST(BK4:BK6,BI4:BI6,TRUE,TRUE)</f>
        <v>-0.12277535375168791</v>
      </c>
      <c r="CC4" s="30">
        <v>2400.1779109747104</v>
      </c>
      <c r="CD4" s="46">
        <f t="array" ref="CD4:CE8">LINEST(BN4:BN6,BM4:BM6,TRUE,TRUE)</f>
        <v>8.4881556027201017E-6</v>
      </c>
      <c r="CE4" s="46">
        <v>-0.15274751302183134</v>
      </c>
      <c r="CF4" s="30">
        <f t="array" ref="CF4:CG8">LINEST(BO4:BO6,BM4:BM6,TRUE,TRUE)</f>
        <v>-9.2204196867901766E-2</v>
      </c>
      <c r="CG4" s="30">
        <v>1580.4816708846993</v>
      </c>
      <c r="CH4" s="46">
        <f t="array" ref="CH4:CI8">LINEST(BR4:BR6,BQ4:BQ6,TRUE,TRUE)</f>
        <v>5.7064660315949971E-6</v>
      </c>
      <c r="CI4" s="46">
        <v>-9.0625104845918139E-2</v>
      </c>
      <c r="CJ4" s="30">
        <f t="array" ref="CJ4:CK8">LINEST(BS4:BS6,BQ4:BQ6,TRUE,TRUE)</f>
        <v>-5.4204737978505349E-2</v>
      </c>
      <c r="CK4" s="30">
        <v>833.43894880280823</v>
      </c>
      <c r="CL4" s="46">
        <f t="array" ref="CL4:CM8">LINEST(BV4:BV6,BU4:BU6,TRUE,TRUE)</f>
        <v>2.2120602789698384E-6</v>
      </c>
      <c r="CM4" s="46">
        <v>-2.7851394902531457E-2</v>
      </c>
      <c r="CN4" s="30">
        <f t="array" ref="CN4:CO8">LINEST(BW4:BW6,BU4:BU6,TRUE,TRUE)</f>
        <v>-1.8979950320234293E-2</v>
      </c>
      <c r="CO4" s="30">
        <v>253.56295545232805</v>
      </c>
      <c r="CQ4">
        <f>$CQ$2*BZ4+CA4</f>
        <v>-0.1930320425840458</v>
      </c>
      <c r="CR4">
        <f>$CQ$2*CB4+CC4</f>
        <v>2400.1779109747104</v>
      </c>
      <c r="CT4">
        <f>CQ4*Inddata!C7+CR4</f>
        <v>1435.0176980544813</v>
      </c>
    </row>
    <row r="5" spans="2:98" x14ac:dyDescent="0.2">
      <c r="B5" s="5" t="s">
        <v>16</v>
      </c>
      <c r="C5" s="65" t="s">
        <v>0</v>
      </c>
      <c r="D5" s="66"/>
      <c r="E5" s="65" t="s">
        <v>0</v>
      </c>
      <c r="F5" s="66"/>
      <c r="G5" s="65" t="s">
        <v>0</v>
      </c>
      <c r="H5" s="66"/>
      <c r="I5" s="67" t="s">
        <v>29</v>
      </c>
      <c r="J5" s="67"/>
      <c r="K5" s="65" t="s">
        <v>29</v>
      </c>
      <c r="L5" s="66"/>
      <c r="M5" s="67" t="s">
        <v>29</v>
      </c>
      <c r="N5" s="67"/>
      <c r="O5" s="65" t="s">
        <v>1</v>
      </c>
      <c r="P5" s="66"/>
      <c r="Q5" s="65" t="s">
        <v>1</v>
      </c>
      <c r="R5" s="66"/>
      <c r="S5" s="65" t="s">
        <v>1</v>
      </c>
      <c r="T5" s="66"/>
      <c r="U5" s="65" t="s">
        <v>2</v>
      </c>
      <c r="V5" s="66"/>
      <c r="W5" s="65" t="s">
        <v>2</v>
      </c>
      <c r="X5" s="66"/>
      <c r="Y5" s="65" t="s">
        <v>2</v>
      </c>
      <c r="Z5" s="66"/>
      <c r="AA5" s="65" t="s">
        <v>0</v>
      </c>
      <c r="AB5" s="66"/>
      <c r="AC5" s="65" t="s">
        <v>29</v>
      </c>
      <c r="AD5" s="66"/>
      <c r="AE5" s="65" t="s">
        <v>1</v>
      </c>
      <c r="AF5" s="66"/>
      <c r="AG5" s="65" t="s">
        <v>2</v>
      </c>
      <c r="AH5" s="66"/>
      <c r="AJ5" s="18">
        <v>9.1642495412886833E-3</v>
      </c>
      <c r="AK5" s="19">
        <v>56.985619472463227</v>
      </c>
      <c r="AL5" s="19">
        <v>8.2372642167200024E-3</v>
      </c>
      <c r="AM5" s="19">
        <v>51.221390473194795</v>
      </c>
      <c r="AN5" s="19">
        <v>7.2771641526865258E-3</v>
      </c>
      <c r="AO5" s="19">
        <v>45.251245655771413</v>
      </c>
      <c r="AP5" s="18">
        <v>9.5371001490791446E-3</v>
      </c>
      <c r="AQ5" s="19">
        <v>59.304098771820684</v>
      </c>
      <c r="AR5" s="19">
        <v>8.641089067941669E-3</v>
      </c>
      <c r="AS5" s="19">
        <v>53.73247544546259</v>
      </c>
      <c r="AT5" s="19">
        <v>7.5756184248135924E-3</v>
      </c>
      <c r="AU5" s="19">
        <v>47.107109739866658</v>
      </c>
      <c r="AV5" s="18">
        <v>7.6541794633891644E-3</v>
      </c>
      <c r="AW5" s="19">
        <v>47.595622130265788</v>
      </c>
      <c r="AX5" s="19">
        <v>6.4782739851349481E-3</v>
      </c>
      <c r="AY5" s="19">
        <v>40.283544712745275</v>
      </c>
      <c r="AZ5" s="19">
        <v>6.2923178376279032E-3</v>
      </c>
      <c r="BA5" s="19">
        <v>39.127222396045077</v>
      </c>
      <c r="BB5" s="18">
        <v>5.002432786254403E-3</v>
      </c>
      <c r="BC5" s="19">
        <v>31.106391189996025</v>
      </c>
      <c r="BD5" s="19">
        <v>2.5757689509903598E-3</v>
      </c>
      <c r="BE5" s="19">
        <v>16.016782239376024</v>
      </c>
      <c r="BF5" s="19">
        <v>9.0015513205191978E-4</v>
      </c>
      <c r="BG5" s="19">
        <v>5.5973920821543155</v>
      </c>
      <c r="BH5" s="18"/>
      <c r="BI5">
        <v>8000</v>
      </c>
      <c r="BJ5">
        <f>AL4</f>
        <v>-0.11795682298217214</v>
      </c>
      <c r="BK5">
        <f>AM4</f>
        <v>1400.0001107924659</v>
      </c>
      <c r="BM5">
        <v>8000</v>
      </c>
      <c r="BN5">
        <f>AR4</f>
        <v>-8.2939164822007999E-2</v>
      </c>
      <c r="BO5">
        <f>AS4</f>
        <v>822.77112890216597</v>
      </c>
      <c r="BQ5">
        <v>8000</v>
      </c>
      <c r="BR5">
        <f>AX4</f>
        <v>-4.4151702102555888E-2</v>
      </c>
      <c r="BS5">
        <f>AY4</f>
        <v>390.20964208229731</v>
      </c>
      <c r="BU5">
        <v>8000</v>
      </c>
      <c r="BV5">
        <f>BD4</f>
        <v>-9.6458358338463376E-3</v>
      </c>
      <c r="BW5">
        <f>BE4</f>
        <v>97.485299894366619</v>
      </c>
      <c r="BZ5">
        <v>4.8020418876235E-7</v>
      </c>
      <c r="CA5">
        <v>3.9208507827163111E-3</v>
      </c>
      <c r="CB5">
        <v>7.7833903991987238E-3</v>
      </c>
      <c r="CC5">
        <v>63.551116489714467</v>
      </c>
      <c r="CD5">
        <v>8.2406793571506566E-7</v>
      </c>
      <c r="CE5">
        <v>6.7284865196352026E-3</v>
      </c>
      <c r="CF5">
        <v>8.6935817434966277E-3</v>
      </c>
      <c r="CG5">
        <v>70.982797695806951</v>
      </c>
      <c r="CH5">
        <v>3.5579549125160388E-7</v>
      </c>
      <c r="CI5">
        <v>2.9050580211643527E-3</v>
      </c>
      <c r="CJ5">
        <v>4.1531992814044924E-3</v>
      </c>
      <c r="CK5">
        <v>33.910730131782564</v>
      </c>
      <c r="CL5">
        <v>2.2043673662825042E-7</v>
      </c>
      <c r="CM5">
        <v>1.7998584176783211E-3</v>
      </c>
      <c r="CN5">
        <v>1.8351307785980965E-3</v>
      </c>
      <c r="CO5">
        <v>14.983780062805817</v>
      </c>
      <c r="CQ5" t="b">
        <f>IF(AND(Inddata!Z11=1,Inddata!AA11=1),$CQ$2*BZ4+CA4,IF(AND(Inddata!Z11=1,Inddata!AA11=2),$CQ$2*CD4+CE4,IF(AND(Inddata!Z11=1,Inddata!AA11=3),$CQ$2*CH4+CI4,IF(AND(Inddata!Z11=1,Inddata!AA11=4),$CQ$2*CL4+CM4))))</f>
        <v>0</v>
      </c>
      <c r="CR5" t="b">
        <f>IF(AND(Inddata!Z11=1,Inddata!AA11=1),$CQ$2*CB4+CC4,IF(AND(Inddata!Z11=1,Inddata!AA11=2),$CQ$2*CF4+CG4,IF(AND(Inddata!Z11=1,Inddata!AA11=3),$CQ$2*CJ4+CK4,IF(AND(Inddata!Z11=1,Inddata!AA11=4),$CQ$2*CN4+CO4))))</f>
        <v>0</v>
      </c>
      <c r="CT5">
        <f>CQ5*Inddata!C7+CR5</f>
        <v>0</v>
      </c>
    </row>
    <row r="6" spans="2:98" x14ac:dyDescent="0.2">
      <c r="B6" s="4" t="s">
        <v>33</v>
      </c>
      <c r="C6" s="62" t="s">
        <v>30</v>
      </c>
      <c r="D6" s="63"/>
      <c r="E6" s="62" t="s">
        <v>31</v>
      </c>
      <c r="F6" s="63"/>
      <c r="G6" s="62" t="s">
        <v>32</v>
      </c>
      <c r="H6" s="63"/>
      <c r="I6" s="64" t="s">
        <v>30</v>
      </c>
      <c r="J6" s="64"/>
      <c r="K6" s="62" t="s">
        <v>31</v>
      </c>
      <c r="L6" s="63"/>
      <c r="M6" s="64" t="s">
        <v>32</v>
      </c>
      <c r="N6" s="64"/>
      <c r="O6" s="62" t="s">
        <v>30</v>
      </c>
      <c r="P6" s="63"/>
      <c r="Q6" s="62" t="s">
        <v>31</v>
      </c>
      <c r="R6" s="63"/>
      <c r="S6" s="62" t="s">
        <v>32</v>
      </c>
      <c r="T6" s="63"/>
      <c r="U6" s="62" t="s">
        <v>30</v>
      </c>
      <c r="V6" s="63"/>
      <c r="W6" s="62" t="s">
        <v>31</v>
      </c>
      <c r="X6" s="63"/>
      <c r="Y6" s="62" t="s">
        <v>32</v>
      </c>
      <c r="Z6" s="63"/>
      <c r="AA6" s="62" t="s">
        <v>0</v>
      </c>
      <c r="AB6" s="63"/>
      <c r="AC6" s="62" t="s">
        <v>29</v>
      </c>
      <c r="AD6" s="63"/>
      <c r="AE6" s="62" t="s">
        <v>1</v>
      </c>
      <c r="AF6" s="63"/>
      <c r="AG6" s="62" t="s">
        <v>2</v>
      </c>
      <c r="AH6" s="63"/>
      <c r="AJ6" s="18">
        <v>0.99561647033489331</v>
      </c>
      <c r="AK6" s="19">
        <v>25.920411980523738</v>
      </c>
      <c r="AL6" s="19">
        <v>0.99514703551618722</v>
      </c>
      <c r="AM6" s="19">
        <v>23.298501544272028</v>
      </c>
      <c r="AN6" s="19">
        <v>0.99484851895079074</v>
      </c>
      <c r="AO6" s="19">
        <v>20.582928480689191</v>
      </c>
      <c r="AP6" s="18">
        <v>0.99146163377555552</v>
      </c>
      <c r="AQ6" s="19">
        <v>26.974992753076378</v>
      </c>
      <c r="AR6" s="19">
        <v>0.98926186363355173</v>
      </c>
      <c r="AS6" s="19">
        <v>24.440690707113987</v>
      </c>
      <c r="AT6" s="19">
        <v>0.98802688775160619</v>
      </c>
      <c r="AU6" s="19">
        <v>21.427084639469768</v>
      </c>
      <c r="AV6" s="18">
        <v>0.98216275743695047</v>
      </c>
      <c r="AW6" s="19">
        <v>21.649288811925146</v>
      </c>
      <c r="AX6" s="19">
        <v>0.97892473596479646</v>
      </c>
      <c r="AY6" s="19">
        <v>18.323325861093281</v>
      </c>
      <c r="AZ6" s="19">
        <v>0.96682984624110913</v>
      </c>
      <c r="BA6" s="19">
        <v>17.797362449471052</v>
      </c>
      <c r="BB6" s="18">
        <v>0.89788452887855597</v>
      </c>
      <c r="BC6" s="19">
        <v>14.149016582361611</v>
      </c>
      <c r="BD6" s="19">
        <v>0.93343897436027157</v>
      </c>
      <c r="BE6" s="19">
        <v>7.2853747680601728</v>
      </c>
      <c r="BF6" s="19">
        <v>0.97788204757521613</v>
      </c>
      <c r="BG6" s="19">
        <v>2.5460231919751379</v>
      </c>
      <c r="BH6" s="18"/>
      <c r="BI6">
        <v>10000</v>
      </c>
      <c r="BJ6">
        <f>AN4</f>
        <v>-0.10112874020523922</v>
      </c>
      <c r="BK6">
        <f>AO4</f>
        <v>1181.411858542202</v>
      </c>
      <c r="BM6">
        <v>10000</v>
      </c>
      <c r="BN6">
        <f>AT4</f>
        <v>-6.8817508683661585E-2</v>
      </c>
      <c r="BO6">
        <f>AU4</f>
        <v>668.47818572534118</v>
      </c>
      <c r="BQ6">
        <v>10000</v>
      </c>
      <c r="BR6">
        <f>AZ4</f>
        <v>-3.3971281775269306E-2</v>
      </c>
      <c r="BS6">
        <f>BA4</f>
        <v>296.18727046398885</v>
      </c>
      <c r="BU6">
        <v>10000</v>
      </c>
      <c r="BV6">
        <f>BF4</f>
        <v>-5.9853305312962783E-3</v>
      </c>
      <c r="BW6">
        <f>BG4</f>
        <v>65.882478748028689</v>
      </c>
      <c r="BZ6">
        <v>0.99730973607107531</v>
      </c>
      <c r="CA6">
        <v>1.3582225529121701E-3</v>
      </c>
      <c r="CB6">
        <v>0.99599711309487038</v>
      </c>
      <c r="CC6">
        <v>22.014752527582743</v>
      </c>
      <c r="CD6">
        <v>0.9906626176456792</v>
      </c>
      <c r="CE6">
        <v>2.3308161020100908E-3</v>
      </c>
      <c r="CF6">
        <v>0.99118844943286466</v>
      </c>
      <c r="CG6">
        <v>24.589162414504131</v>
      </c>
      <c r="CH6">
        <v>0.99612758961125147</v>
      </c>
      <c r="CI6">
        <v>1.0063416183184321E-3</v>
      </c>
      <c r="CJ6">
        <v>0.99416354855233846</v>
      </c>
      <c r="CK6">
        <v>11.747021502000848</v>
      </c>
      <c r="CL6">
        <v>0.9901670798017943</v>
      </c>
      <c r="CM6">
        <v>6.2348924516987536E-4</v>
      </c>
      <c r="CN6">
        <v>0.99073804352800376</v>
      </c>
      <c r="CO6">
        <v>5.1905336716434505</v>
      </c>
    </row>
    <row r="7" spans="2:98" x14ac:dyDescent="0.2">
      <c r="B7" s="5">
        <v>4000</v>
      </c>
      <c r="C7" s="6">
        <v>1130.6478055446007</v>
      </c>
      <c r="D7" s="7">
        <v>7915.9830274481355</v>
      </c>
      <c r="E7" s="37">
        <v>937.68439228959585</v>
      </c>
      <c r="F7" s="37">
        <v>9686.2095297173819</v>
      </c>
      <c r="G7" s="6">
        <v>785.29984308622625</v>
      </c>
      <c r="H7" s="7">
        <v>11497.014896037868</v>
      </c>
      <c r="I7" s="37">
        <v>637.22694349549863</v>
      </c>
      <c r="J7" s="37">
        <v>7420.5621653987382</v>
      </c>
      <c r="K7" s="6">
        <v>500.99233981306929</v>
      </c>
      <c r="L7" s="7">
        <v>9247.5174772410555</v>
      </c>
      <c r="M7" s="37">
        <v>401.95572166438285</v>
      </c>
      <c r="N7" s="37">
        <v>11111.670774615912</v>
      </c>
      <c r="O7" s="6">
        <v>294.65592391863987</v>
      </c>
      <c r="P7" s="7">
        <v>7074.9911458217593</v>
      </c>
      <c r="Q7" s="6">
        <v>221.08330013047734</v>
      </c>
      <c r="R7" s="7">
        <v>8964.608437558376</v>
      </c>
      <c r="S7" s="6">
        <v>167.56788615767394</v>
      </c>
      <c r="T7" s="7">
        <v>10874.282939109096</v>
      </c>
      <c r="U7" s="6">
        <v>88.244305271757284</v>
      </c>
      <c r="V7" s="7">
        <v>6863.579527175254</v>
      </c>
      <c r="W7" s="6">
        <v>61.876198353430382</v>
      </c>
      <c r="X7" s="7">
        <v>8800.4013357814274</v>
      </c>
      <c r="Y7" s="6">
        <v>42.980566238448766</v>
      </c>
      <c r="Z7" s="7">
        <v>10744.695619190257</v>
      </c>
      <c r="AA7" s="6"/>
      <c r="AB7" s="16"/>
      <c r="AC7" s="6"/>
      <c r="AD7" s="16"/>
      <c r="AE7" s="6"/>
      <c r="AF7" s="16"/>
      <c r="AG7" s="6"/>
      <c r="AH7" s="16"/>
      <c r="AJ7" s="18">
        <v>227.12666421767341</v>
      </c>
      <c r="AK7" s="19">
        <v>1</v>
      </c>
      <c r="AL7" s="19">
        <v>205.05961641292279</v>
      </c>
      <c r="AM7" s="19">
        <v>1</v>
      </c>
      <c r="AN7" s="19">
        <v>193.11893209885628</v>
      </c>
      <c r="AO7" s="19">
        <v>1</v>
      </c>
      <c r="AP7" s="18">
        <v>116.11842449871679</v>
      </c>
      <c r="AQ7" s="19">
        <v>1</v>
      </c>
      <c r="AR7" s="19">
        <v>92.126029124060935</v>
      </c>
      <c r="AS7" s="19">
        <v>1</v>
      </c>
      <c r="AT7" s="19">
        <v>82.520473144661267</v>
      </c>
      <c r="AU7" s="19">
        <v>1</v>
      </c>
      <c r="AV7" s="18">
        <v>55.062476947616162</v>
      </c>
      <c r="AW7" s="19">
        <v>1</v>
      </c>
      <c r="AX7" s="19">
        <v>46.448990358062545</v>
      </c>
      <c r="AY7" s="19">
        <v>1</v>
      </c>
      <c r="AZ7" s="19">
        <v>29.147584098308993</v>
      </c>
      <c r="BA7" s="19">
        <v>1</v>
      </c>
      <c r="BB7" s="18">
        <v>8.7928353952430847</v>
      </c>
      <c r="BC7" s="19">
        <v>1</v>
      </c>
      <c r="BD7" s="19">
        <v>14.023806955930185</v>
      </c>
      <c r="BE7" s="19">
        <v>1</v>
      </c>
      <c r="BF7" s="19">
        <v>44.212141738738474</v>
      </c>
      <c r="BG7" s="19">
        <v>1</v>
      </c>
      <c r="BH7" s="18"/>
      <c r="BZ7">
        <v>370.71074155527282</v>
      </c>
      <c r="CA7">
        <v>1</v>
      </c>
      <c r="CB7">
        <v>248.81969855768207</v>
      </c>
      <c r="CC7">
        <v>1</v>
      </c>
      <c r="CD7">
        <v>106.09639619044319</v>
      </c>
      <c r="CE7">
        <v>1</v>
      </c>
      <c r="CF7">
        <v>112.48740410453136</v>
      </c>
      <c r="CG7">
        <v>1</v>
      </c>
      <c r="CH7">
        <v>257.23709256270041</v>
      </c>
      <c r="CI7">
        <v>1</v>
      </c>
      <c r="CJ7">
        <v>170.33698600382507</v>
      </c>
      <c r="CK7">
        <v>1</v>
      </c>
      <c r="CL7">
        <v>100.69918801766278</v>
      </c>
      <c r="CM7">
        <v>1</v>
      </c>
      <c r="CN7">
        <v>106.96854887231795</v>
      </c>
      <c r="CO7">
        <v>1</v>
      </c>
    </row>
    <row r="8" spans="2:98" x14ac:dyDescent="0.2">
      <c r="B8" s="5">
        <v>6000</v>
      </c>
      <c r="C8" s="6">
        <v>822.67819796533684</v>
      </c>
      <c r="D8" s="7">
        <v>9622.5054519872119</v>
      </c>
      <c r="E8" s="37">
        <v>673.23602604779546</v>
      </c>
      <c r="F8" s="37">
        <v>11436.253195594994</v>
      </c>
      <c r="G8" s="6">
        <v>557.833526580804</v>
      </c>
      <c r="H8" s="7">
        <v>13284.040611650027</v>
      </c>
      <c r="I8" s="37">
        <v>398.64919727625932</v>
      </c>
      <c r="J8" s="37">
        <v>9196.476451298231</v>
      </c>
      <c r="K8" s="6">
        <v>305.18039957224744</v>
      </c>
      <c r="L8" s="7">
        <v>11066.197569119458</v>
      </c>
      <c r="M8" s="37">
        <v>238.07799227599568</v>
      </c>
      <c r="N8" s="37">
        <v>12962.28507734511</v>
      </c>
      <c r="O8" s="6">
        <v>154.5467766736607</v>
      </c>
      <c r="P8" s="7">
        <v>8949.3740306956588</v>
      </c>
      <c r="Q8" s="6">
        <v>110.33849655015476</v>
      </c>
      <c r="R8" s="7">
        <v>10868.355666097223</v>
      </c>
      <c r="S8" s="6">
        <v>77.828094222848463</v>
      </c>
      <c r="T8" s="7">
        <v>12799.035179291932</v>
      </c>
      <c r="U8" s="6">
        <v>41.248226482924139</v>
      </c>
      <c r="V8" s="7">
        <v>8831.0754805049128</v>
      </c>
      <c r="W8" s="6">
        <v>33.66180130239033</v>
      </c>
      <c r="X8" s="7">
        <v>10786.678970849423</v>
      </c>
      <c r="Y8" s="6">
        <v>27.891676329040628</v>
      </c>
      <c r="Z8" s="7">
        <v>12744.098761398345</v>
      </c>
      <c r="AA8" s="6"/>
      <c r="AB8" s="16"/>
      <c r="AC8" s="6"/>
      <c r="AD8" s="16"/>
      <c r="AE8" s="6"/>
      <c r="AF8" s="16"/>
      <c r="AG8" s="6"/>
      <c r="AH8" s="16"/>
      <c r="AJ8" s="18">
        <v>152599.08249734863</v>
      </c>
      <c r="AK8" s="19">
        <v>671.8677572400785</v>
      </c>
      <c r="AL8" s="19">
        <v>111310.4967043799</v>
      </c>
      <c r="AM8" s="19">
        <v>542.82017420844613</v>
      </c>
      <c r="AN8" s="19">
        <v>81816.176763990079</v>
      </c>
      <c r="AO8" s="19">
        <v>423.65694484116625</v>
      </c>
      <c r="AP8" s="18">
        <v>84493.598761514673</v>
      </c>
      <c r="AQ8" s="19">
        <v>727.65023402852319</v>
      </c>
      <c r="AR8" s="19">
        <v>55031.24049097766</v>
      </c>
      <c r="AS8" s="19">
        <v>597.34736224080802</v>
      </c>
      <c r="AT8" s="19">
        <v>37886.796011406681</v>
      </c>
      <c r="AU8" s="19">
        <v>459.11995614700129</v>
      </c>
      <c r="AV8" s="18">
        <v>25807.326260585876</v>
      </c>
      <c r="AW8" s="19">
        <v>468.69170606214732</v>
      </c>
      <c r="AX8" s="19">
        <v>15594.982388422697</v>
      </c>
      <c r="AY8" s="19">
        <v>335.74427061180984</v>
      </c>
      <c r="AZ8" s="19">
        <v>9232.3838836379509</v>
      </c>
      <c r="BA8" s="19">
        <v>316.74611015784222</v>
      </c>
      <c r="BB8" s="18">
        <v>1760.2787824951381</v>
      </c>
      <c r="BC8" s="19">
        <v>200.19467024794383</v>
      </c>
      <c r="BD8" s="19">
        <v>744.33719146811222</v>
      </c>
      <c r="BE8" s="19">
        <v>53.076685511087817</v>
      </c>
      <c r="BF8" s="19">
        <v>286.59345255093882</v>
      </c>
      <c r="BG8" s="19">
        <v>6.4822340940752703</v>
      </c>
      <c r="BH8" s="18"/>
      <c r="BZ8">
        <v>6.8387549983363414E-4</v>
      </c>
      <c r="CA8">
        <v>1.8447685032392528E-6</v>
      </c>
      <c r="CB8">
        <v>120590.29991081679</v>
      </c>
      <c r="CC8">
        <v>484.64932885071079</v>
      </c>
      <c r="CD8">
        <v>5.7639028428790905E-4</v>
      </c>
      <c r="CE8">
        <v>5.4327037013895143E-6</v>
      </c>
      <c r="CF8">
        <v>68012.911360438244</v>
      </c>
      <c r="CG8">
        <v>604.62690824686263</v>
      </c>
      <c r="CH8">
        <v>2.6051003655798015E-4</v>
      </c>
      <c r="CI8">
        <v>1.0127234527597608E-6</v>
      </c>
      <c r="CJ8">
        <v>23505.22895454735</v>
      </c>
      <c r="CK8">
        <v>137.99251416847025</v>
      </c>
      <c r="CL8">
        <v>3.9145685422368913E-5</v>
      </c>
      <c r="CM8">
        <v>3.8873883884250094E-7</v>
      </c>
      <c r="CN8">
        <v>2881.9081132684928</v>
      </c>
      <c r="CO8">
        <v>26.94163979646444</v>
      </c>
    </row>
    <row r="9" spans="2:98" x14ac:dyDescent="0.2">
      <c r="B9" s="4">
        <v>8000</v>
      </c>
      <c r="C9" s="8">
        <v>578.20037366107999</v>
      </c>
      <c r="D9" s="9">
        <v>11392.519659800191</v>
      </c>
      <c r="E9" s="38">
        <v>465.8571003609074</v>
      </c>
      <c r="F9" s="38">
        <v>13243.36630202517</v>
      </c>
      <c r="G9" s="8">
        <v>380.78488226526952</v>
      </c>
      <c r="H9" s="9">
        <v>15121.483999455366</v>
      </c>
      <c r="I9" s="38">
        <v>226.14641911733091</v>
      </c>
      <c r="J9" s="38">
        <v>11038.465705256609</v>
      </c>
      <c r="K9" s="8">
        <v>169.23568052503734</v>
      </c>
      <c r="L9" s="9">
        <v>12944.744882189356</v>
      </c>
      <c r="M9" s="38">
        <v>126.68568692973658</v>
      </c>
      <c r="N9" s="38">
        <v>14865.38480411976</v>
      </c>
      <c r="O9" s="8">
        <v>67.467340312042779</v>
      </c>
      <c r="P9" s="9">
        <v>10876.786626451338</v>
      </c>
      <c r="Q9" s="8">
        <v>44.476491720253826</v>
      </c>
      <c r="R9" s="9">
        <v>12816.985693384602</v>
      </c>
      <c r="S9" s="8">
        <v>31.682759056596744</v>
      </c>
      <c r="T9" s="9">
        <v>14767.381876246654</v>
      </c>
      <c r="U9" s="8">
        <v>28.910018683054819</v>
      </c>
      <c r="V9" s="9">
        <v>10833.229304822451</v>
      </c>
      <c r="W9" s="8">
        <v>23.292855018045039</v>
      </c>
      <c r="X9" s="9">
        <v>12790.802056682471</v>
      </c>
      <c r="Y9" s="8">
        <v>19.039244113263663</v>
      </c>
      <c r="Z9" s="9">
        <v>14749.738361303331</v>
      </c>
      <c r="AA9" s="8"/>
      <c r="AB9" s="14"/>
      <c r="AC9" s="8"/>
      <c r="AD9" s="14"/>
      <c r="AE9" s="8"/>
      <c r="AF9" s="14"/>
      <c r="AG9" s="8"/>
      <c r="AH9" s="14"/>
      <c r="AJ9" s="13"/>
      <c r="AK9" s="20"/>
      <c r="AL9" s="20"/>
      <c r="AM9" s="20"/>
      <c r="AN9" s="20"/>
      <c r="AO9" s="20"/>
      <c r="AP9" s="13"/>
      <c r="AQ9" s="20"/>
      <c r="AR9" s="20"/>
      <c r="AS9" s="20"/>
      <c r="AT9" s="20"/>
      <c r="AU9" s="20"/>
      <c r="AV9" s="13"/>
      <c r="AW9" s="20"/>
      <c r="AX9" s="20"/>
      <c r="AY9" s="20"/>
      <c r="AZ9" s="20"/>
      <c r="BA9" s="20"/>
      <c r="BB9" s="13"/>
      <c r="BC9" s="20"/>
      <c r="BD9" s="20"/>
      <c r="BE9" s="20"/>
      <c r="BF9" s="20"/>
      <c r="BG9" s="20"/>
      <c r="BH9" s="18"/>
    </row>
    <row r="12" spans="2:98" x14ac:dyDescent="0.2">
      <c r="B12" t="s">
        <v>6</v>
      </c>
      <c r="D12" s="10">
        <v>4162.8999999999996</v>
      </c>
      <c r="E12" t="s">
        <v>9</v>
      </c>
      <c r="F12" s="10"/>
      <c r="G12" s="10"/>
      <c r="H12" s="10"/>
      <c r="J12" s="10"/>
      <c r="K12" s="10"/>
      <c r="L12" s="10"/>
      <c r="M12" s="10"/>
      <c r="N12" s="10"/>
      <c r="BZ12" t="s">
        <v>71</v>
      </c>
      <c r="CD12" t="s">
        <v>71</v>
      </c>
      <c r="CH12" t="s">
        <v>71</v>
      </c>
      <c r="CL12" t="s">
        <v>71</v>
      </c>
      <c r="CQ12">
        <f>Inddata!C9</f>
        <v>0</v>
      </c>
    </row>
    <row r="13" spans="2:98" x14ac:dyDescent="0.2">
      <c r="AJ13" t="s">
        <v>4</v>
      </c>
      <c r="AL13" t="s">
        <v>4</v>
      </c>
      <c r="AN13" t="s">
        <v>4</v>
      </c>
      <c r="AP13" t="s">
        <v>4</v>
      </c>
      <c r="AR13" t="s">
        <v>4</v>
      </c>
      <c r="AT13" t="s">
        <v>4</v>
      </c>
      <c r="AV13" t="s">
        <v>4</v>
      </c>
      <c r="AX13" t="s">
        <v>4</v>
      </c>
      <c r="AZ13" t="s">
        <v>4</v>
      </c>
      <c r="BB13" t="s">
        <v>4</v>
      </c>
      <c r="BD13" t="s">
        <v>4</v>
      </c>
      <c r="BF13" t="s">
        <v>4</v>
      </c>
      <c r="BI13" t="s">
        <v>66</v>
      </c>
      <c r="BM13" t="s">
        <v>67</v>
      </c>
      <c r="BQ13" t="s">
        <v>68</v>
      </c>
      <c r="BU13" t="s">
        <v>69</v>
      </c>
      <c r="BZ13" t="s">
        <v>66</v>
      </c>
      <c r="CD13" t="s">
        <v>67</v>
      </c>
      <c r="CH13" t="s">
        <v>68</v>
      </c>
      <c r="CL13" t="s">
        <v>69</v>
      </c>
    </row>
    <row r="14" spans="2:98" x14ac:dyDescent="0.2">
      <c r="B14" s="3" t="s">
        <v>8</v>
      </c>
      <c r="C14" s="1" t="s">
        <v>4</v>
      </c>
      <c r="D14" s="2" t="s">
        <v>5</v>
      </c>
      <c r="E14" s="1" t="s">
        <v>4</v>
      </c>
      <c r="F14" s="2" t="s">
        <v>5</v>
      </c>
      <c r="G14" s="1" t="s">
        <v>4</v>
      </c>
      <c r="H14" s="2" t="s">
        <v>5</v>
      </c>
      <c r="I14" s="39" t="s">
        <v>4</v>
      </c>
      <c r="J14" s="39" t="s">
        <v>5</v>
      </c>
      <c r="K14" s="1" t="s">
        <v>4</v>
      </c>
      <c r="L14" s="2" t="s">
        <v>5</v>
      </c>
      <c r="M14" s="39" t="s">
        <v>4</v>
      </c>
      <c r="N14" s="39" t="s">
        <v>5</v>
      </c>
      <c r="O14" s="1" t="s">
        <v>4</v>
      </c>
      <c r="P14" s="2" t="s">
        <v>5</v>
      </c>
      <c r="Q14" s="1" t="s">
        <v>4</v>
      </c>
      <c r="R14" s="2" t="s">
        <v>5</v>
      </c>
      <c r="S14" s="1" t="s">
        <v>4</v>
      </c>
      <c r="T14" s="2" t="s">
        <v>5</v>
      </c>
      <c r="U14" s="1" t="s">
        <v>4</v>
      </c>
      <c r="V14" s="2" t="s">
        <v>5</v>
      </c>
      <c r="W14" s="1" t="s">
        <v>4</v>
      </c>
      <c r="X14" s="2" t="s">
        <v>5</v>
      </c>
      <c r="Y14" s="1" t="s">
        <v>4</v>
      </c>
      <c r="Z14" s="2" t="s">
        <v>5</v>
      </c>
      <c r="AA14" s="11" t="s">
        <v>10</v>
      </c>
      <c r="AB14" s="12" t="s">
        <v>11</v>
      </c>
      <c r="AC14" s="11" t="s">
        <v>10</v>
      </c>
      <c r="AD14" s="12" t="s">
        <v>11</v>
      </c>
      <c r="AE14" s="11" t="s">
        <v>12</v>
      </c>
      <c r="AF14" s="12" t="s">
        <v>13</v>
      </c>
      <c r="AG14" s="11" t="s">
        <v>12</v>
      </c>
      <c r="AH14" s="12" t="s">
        <v>13</v>
      </c>
      <c r="AJ14" s="11">
        <f t="array" ref="AJ14:AK18">LINEST(C17:C19,$B$17:$B$19,TRUE,TRUE)</f>
        <v>-0.17392576876307925</v>
      </c>
      <c r="AK14" s="17">
        <v>2611.1543634348186</v>
      </c>
      <c r="AL14" s="17">
        <f t="array" ref="AL14:AM18">LINEST(E17:E19,$B$17:$B$19,TRUE,TRUE)</f>
        <v>-0.15679549652043839</v>
      </c>
      <c r="AM14" s="17">
        <v>2292.5455331366475</v>
      </c>
      <c r="AN14" s="17">
        <f t="array" ref="AN14:AO18">LINEST(G17:G19,$B$17:$B$19,TRUE,TRUE)</f>
        <v>-0.14004198115869762</v>
      </c>
      <c r="AO14" s="17">
        <v>2009.0894436563206</v>
      </c>
      <c r="AP14" s="11">
        <f t="array" ref="AP14:AQ18">LINEST(I17:I19,$B$17:$B$19,TRUE,TRUE)</f>
        <v>-0.15401613319244986</v>
      </c>
      <c r="AQ14" s="17">
        <v>1971.7637925161475</v>
      </c>
      <c r="AR14" s="17">
        <f t="array" ref="AR14:AS18">LINEST(K17:K19,$B$17:$B$19,TRUE,TRUE)</f>
        <v>-0.1343632729537271</v>
      </c>
      <c r="AS14" s="17">
        <v>1673.7831106652379</v>
      </c>
      <c r="AT14" s="17">
        <f t="array" ref="AT14:AU18">LINEST(M17:M19,$B$17:$B$19,TRUE,TRUE)</f>
        <v>-0.11648912526453016</v>
      </c>
      <c r="AU14" s="17">
        <v>1423.1061807996325</v>
      </c>
      <c r="AV14" s="11">
        <f t="array" ref="AV14:AW18">LINEST(O17:O19,$B$17:$B$19,TRUE,TRUE)</f>
        <v>-0.11609696216635999</v>
      </c>
      <c r="AW14" s="17">
        <v>1304.1818680488436</v>
      </c>
      <c r="AX14" s="17">
        <f t="array" ref="AX14:AY18">LINEST(Q17:Q19,$B$17:$B$19,TRUE,TRUE)</f>
        <v>-9.7355234591881515E-2</v>
      </c>
      <c r="AY14" s="17">
        <v>1072.6983183794559</v>
      </c>
      <c r="AZ14" s="17">
        <f t="array" ref="AZ14:BA18">LINEST(S17:S19,$B$17:$B$19,TRUE,TRUE)</f>
        <v>-8.3364202443054453E-2</v>
      </c>
      <c r="BA14" s="17">
        <v>899.49498139643083</v>
      </c>
      <c r="BB14" s="11">
        <f t="array" ref="BB14:BC18">LINEST(U17:U19,$B$17:$B$19,TRUE,TRUE)</f>
        <v>-7.1081982019681883E-2</v>
      </c>
      <c r="BC14" s="17">
        <v>667.11851511695215</v>
      </c>
      <c r="BD14" s="17">
        <f t="array" ref="BD14:BE18">LINEST(W17:W19,$B$17:$B$19,TRUE,TRUE)</f>
        <v>-5.256929692983843E-2</v>
      </c>
      <c r="BE14" s="17">
        <v>494.88409434592688</v>
      </c>
      <c r="BF14" s="17">
        <f t="array" ref="BF14:BG18">LINEST(Y17:Y19,$B$17:$B$19,TRUE,TRUE)</f>
        <v>-3.9597697993562844E-2</v>
      </c>
      <c r="BG14" s="12">
        <v>373.43214067364545</v>
      </c>
      <c r="BI14">
        <v>6000</v>
      </c>
      <c r="BJ14">
        <f>AJ14</f>
        <v>-0.17392576876307925</v>
      </c>
      <c r="BK14">
        <f>AK14</f>
        <v>2611.1543634348186</v>
      </c>
      <c r="BM14">
        <v>6000</v>
      </c>
      <c r="BN14">
        <f>AP14</f>
        <v>-0.15401613319244986</v>
      </c>
      <c r="BO14">
        <f>AQ14</f>
        <v>1971.7637925161475</v>
      </c>
      <c r="BQ14">
        <v>6000</v>
      </c>
      <c r="BR14">
        <f>AV14</f>
        <v>-0.11609696216635999</v>
      </c>
      <c r="BS14">
        <f>AW14</f>
        <v>1304.1818680488436</v>
      </c>
      <c r="BU14">
        <v>6000</v>
      </c>
      <c r="BV14">
        <f>BB14</f>
        <v>-7.1081982019681883E-2</v>
      </c>
      <c r="BW14">
        <f>BC14</f>
        <v>667.11851511695215</v>
      </c>
      <c r="BZ14" s="46">
        <f t="array" ref="BZ14:CA18">LINEST(BJ14:BJ16,BI14:BI16,TRUE,TRUE)</f>
        <v>8.4709469010954092E-6</v>
      </c>
      <c r="CA14" s="46">
        <v>-0.22468865735616833</v>
      </c>
      <c r="CB14" s="30">
        <f t="array" ref="CB14:CC18">LINEST(BK14:BK16,BI14:BI16,TRUE,TRUE)</f>
        <v>-0.15051622994462455</v>
      </c>
      <c r="CC14" s="30">
        <v>3508.3929529662582</v>
      </c>
      <c r="CD14" s="46">
        <f t="array" ref="CD14:CE18">LINEST(BN14:BN16,BM14:BM16,TRUE,TRUE)</f>
        <v>9.3817519819799255E-6</v>
      </c>
      <c r="CE14" s="46">
        <v>-0.21001019299274176</v>
      </c>
      <c r="CF14" s="30">
        <f t="array" ref="CF14:CG18">LINEST(BO14:BO16,BM14:BM16,TRUE,TRUE)</f>
        <v>-0.13716440292912879</v>
      </c>
      <c r="CG14" s="30">
        <v>2786.866251426703</v>
      </c>
      <c r="CH14" s="46">
        <f t="array" ref="CH14:CI18">LINEST(BR14:BR16,BQ14:BQ16,TRUE,TRUE)</f>
        <v>8.1831899308263894E-6</v>
      </c>
      <c r="CI14" s="46">
        <v>-0.16440431918037646</v>
      </c>
      <c r="CJ14" s="30">
        <f t="array" ref="CJ14:CK18">LINEST(BS14:BS16,BQ14:BQ16,TRUE,TRUE)</f>
        <v>-0.10117172166310322</v>
      </c>
      <c r="CK14" s="30">
        <v>1901.4988292464027</v>
      </c>
      <c r="CL14" s="46">
        <f t="array" ref="CL14:CM18">LINEST(BV14:BV16,BU14:BU16,TRUE,TRUE)</f>
        <v>7.8710710065297623E-6</v>
      </c>
      <c r="CM14" s="46">
        <v>-0.11738489369993249</v>
      </c>
      <c r="CN14" s="30">
        <f t="array" ref="CN14:CO18">LINEST(BW14:BW16,BU14:BU16,TRUE,TRUE)</f>
        <v>-7.3421593610826702E-2</v>
      </c>
      <c r="CO14" s="30">
        <v>1099.1843322654552</v>
      </c>
      <c r="CQ14">
        <f>$CQ$12*BZ14+CA14</f>
        <v>-0.22468865735616833</v>
      </c>
      <c r="CR14">
        <f>$CQ$12*CB14+CC14</f>
        <v>3508.3929529662582</v>
      </c>
      <c r="CT14">
        <f>CQ14*Inddata!C7+CR14</f>
        <v>2384.9496661854164</v>
      </c>
    </row>
    <row r="15" spans="2:98" x14ac:dyDescent="0.2">
      <c r="B15" s="5" t="s">
        <v>16</v>
      </c>
      <c r="C15" s="65" t="s">
        <v>0</v>
      </c>
      <c r="D15" s="66"/>
      <c r="E15" s="65" t="s">
        <v>0</v>
      </c>
      <c r="F15" s="66"/>
      <c r="G15" s="65" t="s">
        <v>0</v>
      </c>
      <c r="H15" s="66"/>
      <c r="I15" s="67" t="s">
        <v>29</v>
      </c>
      <c r="J15" s="67"/>
      <c r="K15" s="65" t="s">
        <v>29</v>
      </c>
      <c r="L15" s="66"/>
      <c r="M15" s="67" t="s">
        <v>29</v>
      </c>
      <c r="N15" s="67"/>
      <c r="O15" s="65" t="s">
        <v>1</v>
      </c>
      <c r="P15" s="66"/>
      <c r="Q15" s="65" t="s">
        <v>1</v>
      </c>
      <c r="R15" s="66"/>
      <c r="S15" s="65" t="s">
        <v>1</v>
      </c>
      <c r="T15" s="66"/>
      <c r="U15" s="65" t="s">
        <v>2</v>
      </c>
      <c r="V15" s="66"/>
      <c r="W15" s="65" t="s">
        <v>2</v>
      </c>
      <c r="X15" s="66"/>
      <c r="Y15" s="65" t="s">
        <v>2</v>
      </c>
      <c r="Z15" s="66"/>
      <c r="AA15" s="65" t="s">
        <v>0</v>
      </c>
      <c r="AB15" s="66"/>
      <c r="AC15" s="65" t="s">
        <v>29</v>
      </c>
      <c r="AD15" s="66"/>
      <c r="AE15" s="65" t="s">
        <v>1</v>
      </c>
      <c r="AF15" s="66"/>
      <c r="AG15" s="65" t="s">
        <v>2</v>
      </c>
      <c r="AH15" s="66"/>
      <c r="AJ15" s="18">
        <v>7.8152185501176689E-3</v>
      </c>
      <c r="AK15" s="19">
        <v>48.597003866452461</v>
      </c>
      <c r="AL15" s="19">
        <v>7.5370356910823885E-3</v>
      </c>
      <c r="AM15" s="19">
        <v>46.867192551589774</v>
      </c>
      <c r="AN15" s="19">
        <v>7.1482887515375874E-3</v>
      </c>
      <c r="AO15" s="19">
        <v>44.449865844348061</v>
      </c>
      <c r="AP15" s="18">
        <v>8.6595380236788796E-3</v>
      </c>
      <c r="AQ15" s="19">
        <v>53.847195714325665</v>
      </c>
      <c r="AR15" s="19">
        <v>7.9829674661270784E-3</v>
      </c>
      <c r="AS15" s="19">
        <v>49.640109016695476</v>
      </c>
      <c r="AT15" s="19">
        <v>7.6167993926592225E-3</v>
      </c>
      <c r="AU15" s="19">
        <v>47.363183404446161</v>
      </c>
      <c r="AV15" s="18">
        <v>8.6537386463902168E-3</v>
      </c>
      <c r="AW15" s="19">
        <v>53.811133720830178</v>
      </c>
      <c r="AX15" s="19">
        <v>7.5864322717638837E-3</v>
      </c>
      <c r="AY15" s="19">
        <v>47.174352972884961</v>
      </c>
      <c r="AZ15" s="19">
        <v>7.1709223641955606E-3</v>
      </c>
      <c r="BA15" s="19">
        <v>44.590607367415856</v>
      </c>
      <c r="BB15" s="18">
        <v>1.4664888751101649E-2</v>
      </c>
      <c r="BC15" s="19">
        <v>91.189984101935536</v>
      </c>
      <c r="BD15" s="19">
        <v>9.403932707839931E-3</v>
      </c>
      <c r="BE15" s="19">
        <v>58.476029970508627</v>
      </c>
      <c r="BF15" s="19">
        <v>6.7940170936011254E-3</v>
      </c>
      <c r="BG15" s="16">
        <v>42.246915150121659</v>
      </c>
      <c r="BI15">
        <v>8000</v>
      </c>
      <c r="BJ15">
        <f>AL14</f>
        <v>-0.15679549652043839</v>
      </c>
      <c r="BK15">
        <f>AM14</f>
        <v>2292.5455331366475</v>
      </c>
      <c r="BM15">
        <v>8000</v>
      </c>
      <c r="BN15">
        <f>AR14</f>
        <v>-0.1343632729537271</v>
      </c>
      <c r="BO15">
        <f>AS14</f>
        <v>1673.7831106652379</v>
      </c>
      <c r="BQ15">
        <v>8000</v>
      </c>
      <c r="BR15">
        <f>AX14</f>
        <v>-9.7355234591881515E-2</v>
      </c>
      <c r="BS15">
        <f>AY14</f>
        <v>1072.6983183794559</v>
      </c>
      <c r="BU15">
        <v>8000</v>
      </c>
      <c r="BV15">
        <f>BD14</f>
        <v>-5.256929692983843E-2</v>
      </c>
      <c r="BW15">
        <f>BE14</f>
        <v>494.88409434592688</v>
      </c>
      <c r="BZ15">
        <v>5.4380171651678171E-8</v>
      </c>
      <c r="CA15">
        <v>4.4401224223858079E-4</v>
      </c>
      <c r="CB15">
        <v>5.0738610934839123E-3</v>
      </c>
      <c r="CC15">
        <v>41.427902349318281</v>
      </c>
      <c r="CD15">
        <v>2.567350423199241E-7</v>
      </c>
      <c r="CE15">
        <v>2.0962328425855308E-3</v>
      </c>
      <c r="CF15">
        <v>6.8277084855987045E-3</v>
      </c>
      <c r="CG15">
        <v>55.748006340625643</v>
      </c>
      <c r="CH15">
        <v>6.8570382070944541E-7</v>
      </c>
      <c r="CI15">
        <v>5.598748251383406E-3</v>
      </c>
      <c r="CJ15">
        <v>8.4120241207250347E-3</v>
      </c>
      <c r="CK15">
        <v>68.683889332535514</v>
      </c>
      <c r="CL15">
        <v>7.9978689559133027E-7</v>
      </c>
      <c r="CM15">
        <v>6.5302326572112138E-3</v>
      </c>
      <c r="CN15">
        <v>7.3298177623932759E-3</v>
      </c>
      <c r="CO15">
        <v>59.847711418174249</v>
      </c>
      <c r="CQ15" t="b">
        <f>IF(AND(Inddata!Z11=2,Inddata!AA11=1),$CQ$12*BZ14+CA14,IF(AND(Inddata!Z11=2,Inddata!AA11=2),$CQ$12*CD14+CE14,IF(AND(Inddata!Z11=2,Inddata!AA11=3),$CQ$12*CH14+CI14,IF(AND(Inddata!Z11=2,Inddata!AA11=4),$CQ$12*CL14+CM14))))</f>
        <v>0</v>
      </c>
      <c r="CR15" t="b">
        <f>IF(AND(Inddata!Z11=2,Inddata!AA11=1),$CQ$12*CB14+CC14,IF(AND(Inddata!Z11=2,Inddata!AA11=2),$CQ$12*CF14+CG14,IF(AND(Inddata!Z11=2,Inddata!AA11=3),$CQ$12*CJ14+CK14,IF(AND(Inddata!Z11=2,Inddata!AA11=4),$CQ$12*CN14+CO14))))</f>
        <v>0</v>
      </c>
      <c r="CT15">
        <f>CQ15*Inddata!C7+CR15</f>
        <v>0</v>
      </c>
    </row>
    <row r="16" spans="2:98" x14ac:dyDescent="0.2">
      <c r="B16" s="4" t="s">
        <v>33</v>
      </c>
      <c r="C16" s="62" t="s">
        <v>30</v>
      </c>
      <c r="D16" s="63"/>
      <c r="E16" s="62" t="s">
        <v>31</v>
      </c>
      <c r="F16" s="63"/>
      <c r="G16" s="62" t="s">
        <v>32</v>
      </c>
      <c r="H16" s="63"/>
      <c r="I16" s="64" t="s">
        <v>30</v>
      </c>
      <c r="J16" s="64"/>
      <c r="K16" s="62" t="s">
        <v>31</v>
      </c>
      <c r="L16" s="63"/>
      <c r="M16" s="64" t="s">
        <v>32</v>
      </c>
      <c r="N16" s="64"/>
      <c r="O16" s="62" t="s">
        <v>30</v>
      </c>
      <c r="P16" s="63"/>
      <c r="Q16" s="62" t="s">
        <v>31</v>
      </c>
      <c r="R16" s="63"/>
      <c r="S16" s="62" t="s">
        <v>32</v>
      </c>
      <c r="T16" s="63"/>
      <c r="U16" s="62" t="s">
        <v>30</v>
      </c>
      <c r="V16" s="63"/>
      <c r="W16" s="62" t="s">
        <v>31</v>
      </c>
      <c r="X16" s="63"/>
      <c r="Y16" s="62" t="s">
        <v>32</v>
      </c>
      <c r="Z16" s="63"/>
      <c r="AA16" s="62" t="s">
        <v>0</v>
      </c>
      <c r="AB16" s="63"/>
      <c r="AC16" s="62" t="s">
        <v>29</v>
      </c>
      <c r="AD16" s="63"/>
      <c r="AE16" s="62" t="s">
        <v>1</v>
      </c>
      <c r="AF16" s="63"/>
      <c r="AG16" s="62" t="s">
        <v>2</v>
      </c>
      <c r="AH16" s="63"/>
      <c r="AJ16" s="18">
        <v>0.99798498446569339</v>
      </c>
      <c r="AK16" s="19">
        <v>22.104776132972404</v>
      </c>
      <c r="AL16" s="19">
        <v>0.99769467781470034</v>
      </c>
      <c r="AM16" s="19">
        <v>21.31795618883757</v>
      </c>
      <c r="AN16" s="19">
        <v>0.99740129125065902</v>
      </c>
      <c r="AO16" s="19">
        <v>20.218413800366989</v>
      </c>
      <c r="AP16" s="18">
        <v>0.99684872522024115</v>
      </c>
      <c r="AQ16" s="19">
        <v>24.492872233944354</v>
      </c>
      <c r="AR16" s="19">
        <v>0.99648247465613571</v>
      </c>
      <c r="AS16" s="19">
        <v>22.579241717160187</v>
      </c>
      <c r="AT16" s="19">
        <v>0.99574282549345294</v>
      </c>
      <c r="AU16" s="19">
        <v>21.543562005947649</v>
      </c>
      <c r="AV16" s="18">
        <v>0.99447465301880333</v>
      </c>
      <c r="AW16" s="19">
        <v>24.476469117914462</v>
      </c>
      <c r="AX16" s="19">
        <v>0.99396430420458493</v>
      </c>
      <c r="AY16" s="19">
        <v>21.457670817506823</v>
      </c>
      <c r="AZ16" s="19">
        <v>0.99265504404394711</v>
      </c>
      <c r="BA16" s="19">
        <v>20.282431324339797</v>
      </c>
      <c r="BB16" s="18">
        <v>0.9591740852751045</v>
      </c>
      <c r="BC16" s="19">
        <v>41.478569125001172</v>
      </c>
      <c r="BD16" s="19">
        <v>0.96899192222136599</v>
      </c>
      <c r="BE16" s="19">
        <v>26.598338350142342</v>
      </c>
      <c r="BF16" s="19">
        <v>0.97140348884717542</v>
      </c>
      <c r="BG16" s="16">
        <v>19.216382233530695</v>
      </c>
      <c r="BI16">
        <v>10000</v>
      </c>
      <c r="BJ16">
        <f>AN14</f>
        <v>-0.14004198115869762</v>
      </c>
      <c r="BK16">
        <f>AO14</f>
        <v>2009.0894436563206</v>
      </c>
      <c r="BM16">
        <v>10000</v>
      </c>
      <c r="BN16">
        <f>AT14</f>
        <v>-0.11648912526453016</v>
      </c>
      <c r="BO16">
        <f>AU14</f>
        <v>1423.1061807996325</v>
      </c>
      <c r="BQ16">
        <v>10000</v>
      </c>
      <c r="BR16">
        <f>AZ14</f>
        <v>-8.3364202443054453E-2</v>
      </c>
      <c r="BS16">
        <f>BA14</f>
        <v>899.49498139643083</v>
      </c>
      <c r="BU16">
        <v>10000</v>
      </c>
      <c r="BV16">
        <f>BF14</f>
        <v>-3.9597697993562844E-2</v>
      </c>
      <c r="BW16">
        <f>BG14</f>
        <v>373.43214067364545</v>
      </c>
      <c r="BZ16">
        <v>0.99995879031149182</v>
      </c>
      <c r="CA16">
        <v>1.5381035254796033E-4</v>
      </c>
      <c r="CB16">
        <v>0.9988649440888302</v>
      </c>
      <c r="CC16">
        <v>14.35104634400426</v>
      </c>
      <c r="CD16">
        <v>0.99925169732052899</v>
      </c>
      <c r="CE16">
        <v>7.2615635757053432E-4</v>
      </c>
      <c r="CF16">
        <v>0.99752831945128051</v>
      </c>
      <c r="CG16">
        <v>19.311675880527105</v>
      </c>
      <c r="CH16">
        <v>0.9930274899730267</v>
      </c>
      <c r="CI16">
        <v>1.9394632860366932E-3</v>
      </c>
      <c r="CJ16">
        <v>0.99313420742771175</v>
      </c>
      <c r="CK16">
        <v>23.792797197077903</v>
      </c>
      <c r="CL16">
        <v>0.98978072934590999</v>
      </c>
      <c r="CM16">
        <v>2.2621389495070671E-3</v>
      </c>
      <c r="CN16">
        <v>0.99013193932578758</v>
      </c>
      <c r="CO16">
        <v>20.731855378599562</v>
      </c>
    </row>
    <row r="17" spans="2:98" x14ac:dyDescent="0.2">
      <c r="B17" s="5">
        <v>4000</v>
      </c>
      <c r="C17" s="6">
        <v>1924.4755254498739</v>
      </c>
      <c r="D17" s="7">
        <v>7669.0852285043029</v>
      </c>
      <c r="E17" s="37">
        <v>1674.0665662251704</v>
      </c>
      <c r="F17" s="37">
        <v>9381.8661848040283</v>
      </c>
      <c r="G17" s="6">
        <v>1457.1756518914208</v>
      </c>
      <c r="H17" s="7">
        <v>11128.165185997983</v>
      </c>
      <c r="I17" s="37">
        <v>1365.6984329644051</v>
      </c>
      <c r="J17" s="37">
        <v>7108.3081360191582</v>
      </c>
      <c r="K17" s="6">
        <v>1145.5479556813304</v>
      </c>
      <c r="L17" s="7">
        <v>8851.3475742598948</v>
      </c>
      <c r="M17" s="37">
        <v>965.9448021009423</v>
      </c>
      <c r="N17" s="37">
        <v>10634.934336206998</v>
      </c>
      <c r="O17" s="6">
        <v>849.7864960573836</v>
      </c>
      <c r="P17" s="7">
        <v>6589.3961991124243</v>
      </c>
      <c r="Q17" s="6">
        <v>692.03743744051337</v>
      </c>
      <c r="R17" s="7">
        <v>8394.8370560197345</v>
      </c>
      <c r="S17" s="6">
        <v>574.31843953882537</v>
      </c>
      <c r="T17" s="7">
        <v>10240.307973644683</v>
      </c>
      <c r="U17" s="6">
        <v>399.72414197439349</v>
      </c>
      <c r="V17" s="7">
        <v>6134.3338450291549</v>
      </c>
      <c r="W17" s="6">
        <v>295.46563278719816</v>
      </c>
      <c r="X17" s="7">
        <v>7993.2652513671119</v>
      </c>
      <c r="Y17" s="6">
        <v>222.8864038951331</v>
      </c>
      <c r="Z17" s="7">
        <v>9883.8759380000392</v>
      </c>
      <c r="AA17" s="6"/>
      <c r="AB17" s="16"/>
      <c r="AC17" s="6"/>
      <c r="AD17" s="16"/>
      <c r="AE17" s="6"/>
      <c r="AF17" s="16"/>
      <c r="AG17" s="6"/>
      <c r="AH17" s="16"/>
      <c r="AJ17" s="18">
        <v>495.27408969037901</v>
      </c>
      <c r="AK17" s="19">
        <v>1</v>
      </c>
      <c r="AL17" s="19">
        <v>432.77884721566272</v>
      </c>
      <c r="AM17" s="19">
        <v>1</v>
      </c>
      <c r="AN17" s="19">
        <v>383.80649293753265</v>
      </c>
      <c r="AO17" s="19">
        <v>1</v>
      </c>
      <c r="AP17" s="18">
        <v>316.33189578489561</v>
      </c>
      <c r="AQ17" s="19">
        <v>1</v>
      </c>
      <c r="AR17" s="19">
        <v>283.29077326886386</v>
      </c>
      <c r="AS17" s="19">
        <v>1</v>
      </c>
      <c r="AT17" s="19">
        <v>233.89758253088303</v>
      </c>
      <c r="AU17" s="19">
        <v>1</v>
      </c>
      <c r="AV17" s="18">
        <v>179.98410894430589</v>
      </c>
      <c r="AW17" s="19">
        <v>1</v>
      </c>
      <c r="AX17" s="19">
        <v>164.68098093340717</v>
      </c>
      <c r="AY17" s="19">
        <v>1</v>
      </c>
      <c r="AZ17" s="19">
        <v>135.14785520611682</v>
      </c>
      <c r="BA17" s="19">
        <v>1</v>
      </c>
      <c r="BB17" s="18">
        <v>23.494246038049049</v>
      </c>
      <c r="BC17" s="19">
        <v>1</v>
      </c>
      <c r="BD17" s="19">
        <v>31.249661108920527</v>
      </c>
      <c r="BE17" s="19">
        <v>1</v>
      </c>
      <c r="BF17" s="19">
        <v>33.969300788331616</v>
      </c>
      <c r="BG17" s="16">
        <v>1</v>
      </c>
      <c r="BZ17">
        <v>24265.138284431385</v>
      </c>
      <c r="CA17">
        <v>1</v>
      </c>
      <c r="CB17">
        <v>880.01386914888303</v>
      </c>
      <c r="CC17">
        <v>1</v>
      </c>
      <c r="CD17">
        <v>1335.3576363336335</v>
      </c>
      <c r="CE17">
        <v>1</v>
      </c>
      <c r="CF17">
        <v>403.5830277371623</v>
      </c>
      <c r="CG17">
        <v>1</v>
      </c>
      <c r="CH17">
        <v>142.42037460419243</v>
      </c>
      <c r="CI17">
        <v>1</v>
      </c>
      <c r="CJ17">
        <v>144.64960847145491</v>
      </c>
      <c r="CK17">
        <v>1</v>
      </c>
      <c r="CL17">
        <v>96.854341454375344</v>
      </c>
      <c r="CM17">
        <v>1</v>
      </c>
      <c r="CN17">
        <v>100.33703399425139</v>
      </c>
      <c r="CO17">
        <v>1</v>
      </c>
    </row>
    <row r="18" spans="2:98" x14ac:dyDescent="0.2">
      <c r="B18" s="5">
        <v>6000</v>
      </c>
      <c r="C18" s="6">
        <v>1549.5512767215985</v>
      </c>
      <c r="D18" s="7">
        <v>9308.6530118936043</v>
      </c>
      <c r="E18" s="37">
        <v>1334.3665156734644</v>
      </c>
      <c r="F18" s="37">
        <v>11056.658166372918</v>
      </c>
      <c r="G18" s="6">
        <v>1152.3292909643533</v>
      </c>
      <c r="H18" s="7">
        <v>12837.810857188495</v>
      </c>
      <c r="I18" s="37">
        <v>1027.668646925333</v>
      </c>
      <c r="J18" s="37">
        <v>8784.7703820972147</v>
      </c>
      <c r="K18" s="6">
        <v>849.16759928087345</v>
      </c>
      <c r="L18" s="7">
        <v>10569.45924998076</v>
      </c>
      <c r="M18" s="37">
        <v>706.58118449359097</v>
      </c>
      <c r="N18" s="37">
        <v>12390.062750717771</v>
      </c>
      <c r="O18" s="6">
        <v>587.61514170272346</v>
      </c>
      <c r="P18" s="7">
        <v>8341.7168768751926</v>
      </c>
      <c r="Q18" s="6">
        <v>471.04679597099999</v>
      </c>
      <c r="R18" s="7">
        <v>10188.338446671356</v>
      </c>
      <c r="S18" s="6">
        <v>382.74923090887927</v>
      </c>
      <c r="T18" s="7">
        <v>12063.230797133045</v>
      </c>
      <c r="U18" s="6">
        <v>206.7595131265231</v>
      </c>
      <c r="V18" s="7">
        <v>7955.8612482994777</v>
      </c>
      <c r="W18" s="6">
        <v>157.75086044564625</v>
      </c>
      <c r="X18" s="7">
        <v>9870.0425111455643</v>
      </c>
      <c r="Y18" s="6">
        <v>120.15584232079026</v>
      </c>
      <c r="Z18" s="7">
        <v>11795.637408544408</v>
      </c>
      <c r="AA18" s="6"/>
      <c r="AB18" s="16"/>
      <c r="AC18" s="6"/>
      <c r="AD18" s="16"/>
      <c r="AE18" s="6"/>
      <c r="AF18" s="16"/>
      <c r="AG18" s="6"/>
      <c r="AH18" s="16"/>
      <c r="AJ18" s="18">
        <v>242001.38431862477</v>
      </c>
      <c r="AK18" s="19">
        <v>488.62112788882644</v>
      </c>
      <c r="AL18" s="19">
        <v>196678.62183272635</v>
      </c>
      <c r="AM18" s="19">
        <v>454.45525606919807</v>
      </c>
      <c r="AN18" s="19">
        <v>156894.05189482408</v>
      </c>
      <c r="AO18" s="19">
        <v>408.7842566028703</v>
      </c>
      <c r="AP18" s="18">
        <v>189767.75426843547</v>
      </c>
      <c r="AQ18" s="19">
        <v>599.90079026832234</v>
      </c>
      <c r="AR18" s="19">
        <v>144427.91295070207</v>
      </c>
      <c r="AS18" s="19">
        <v>509.82215652194691</v>
      </c>
      <c r="AT18" s="19">
        <v>108557.73043916318</v>
      </c>
      <c r="AU18" s="19">
        <v>464.12506390411107</v>
      </c>
      <c r="AV18" s="18">
        <v>107828.03699405769</v>
      </c>
      <c r="AW18" s="19">
        <v>599.09754048022035</v>
      </c>
      <c r="AX18" s="19">
        <v>75824.333619522222</v>
      </c>
      <c r="AY18" s="19">
        <v>460.43163691248395</v>
      </c>
      <c r="AZ18" s="19">
        <v>55596.721991732513</v>
      </c>
      <c r="BA18" s="19">
        <v>411.37702042656019</v>
      </c>
      <c r="BB18" s="18">
        <v>40421.185342771008</v>
      </c>
      <c r="BC18" s="19">
        <v>1720.4716966575006</v>
      </c>
      <c r="BD18" s="19">
        <v>22108.247837580169</v>
      </c>
      <c r="BE18" s="19">
        <v>707.47160298865288</v>
      </c>
      <c r="BF18" s="19">
        <v>12543.821491115285</v>
      </c>
      <c r="BG18" s="16">
        <v>369.26934614515415</v>
      </c>
      <c r="BZ18">
        <v>5.7405553120942309E-4</v>
      </c>
      <c r="CA18">
        <v>2.3657624550927846E-8</v>
      </c>
      <c r="CB18">
        <v>181241.08381394466</v>
      </c>
      <c r="CC18">
        <v>205.95253116775802</v>
      </c>
      <c r="CD18">
        <v>7.0413816201107392E-4</v>
      </c>
      <c r="CE18">
        <v>5.2730305564010564E-7</v>
      </c>
      <c r="CF18">
        <v>150512.5874472351</v>
      </c>
      <c r="CG18">
        <v>372.94082531453233</v>
      </c>
      <c r="CH18">
        <v>5.3571677955182662E-4</v>
      </c>
      <c r="CI18">
        <v>3.7615178378842483E-6</v>
      </c>
      <c r="CJ18">
        <v>81885.738114211388</v>
      </c>
      <c r="CK18">
        <v>566.09719846127814</v>
      </c>
      <c r="CL18">
        <v>4.9563007031866717E-4</v>
      </c>
      <c r="CM18">
        <v>5.1172726268769372E-6</v>
      </c>
      <c r="CN18">
        <v>43125.843266827076</v>
      </c>
      <c r="CO18">
        <v>429.80982743916758</v>
      </c>
    </row>
    <row r="19" spans="2:98" x14ac:dyDescent="0.2">
      <c r="B19" s="4">
        <v>8000</v>
      </c>
      <c r="C19" s="8">
        <v>1228.7724503975571</v>
      </c>
      <c r="D19" s="9">
        <v>11002.366217686964</v>
      </c>
      <c r="E19" s="38">
        <v>1046.884580143417</v>
      </c>
      <c r="F19" s="38">
        <v>12783.668262962996</v>
      </c>
      <c r="G19" s="8">
        <v>897.00772725663046</v>
      </c>
      <c r="H19" s="9">
        <v>14596.981325602423</v>
      </c>
      <c r="I19" s="38">
        <v>749.63390019460599</v>
      </c>
      <c r="J19" s="38">
        <v>10521.227667484354</v>
      </c>
      <c r="K19" s="8">
        <v>608.0948638664222</v>
      </c>
      <c r="L19" s="9">
        <v>12342.878546685641</v>
      </c>
      <c r="M19" s="38">
        <v>499.98830104282172</v>
      </c>
      <c r="N19" s="38">
        <v>14197.961899387881</v>
      </c>
      <c r="O19" s="8">
        <v>385.39864739194383</v>
      </c>
      <c r="P19" s="9">
        <v>10153.992414681974</v>
      </c>
      <c r="Q19" s="8">
        <v>302.61649907298744</v>
      </c>
      <c r="R19" s="9">
        <v>12034.40018189209</v>
      </c>
      <c r="S19" s="8">
        <v>240.86162976660759</v>
      </c>
      <c r="T19" s="9">
        <v>13935.835228111393</v>
      </c>
      <c r="U19" s="8">
        <v>115.39621389566604</v>
      </c>
      <c r="V19" s="9">
        <v>9878.9899811855303</v>
      </c>
      <c r="W19" s="8">
        <v>85.188445067844427</v>
      </c>
      <c r="X19" s="9">
        <v>11811.972127886396</v>
      </c>
      <c r="Y19" s="8">
        <v>64.495611920881743</v>
      </c>
      <c r="Z19" s="9">
        <v>13754.469210265555</v>
      </c>
      <c r="AA19" s="8"/>
      <c r="AB19" s="14"/>
      <c r="AC19" s="8"/>
      <c r="AD19" s="14"/>
      <c r="AE19" s="8"/>
      <c r="AF19" s="14"/>
      <c r="AG19" s="8"/>
      <c r="AH19" s="14"/>
      <c r="AJ19" s="13"/>
      <c r="AK19" s="20"/>
      <c r="AL19" s="20"/>
      <c r="AM19" s="20"/>
      <c r="AN19" s="20"/>
      <c r="AO19" s="20"/>
      <c r="AP19" s="13"/>
      <c r="AQ19" s="20"/>
      <c r="AR19" s="20"/>
      <c r="AS19" s="20"/>
      <c r="AT19" s="20"/>
      <c r="AU19" s="20"/>
      <c r="AV19" s="13"/>
      <c r="AW19" s="20"/>
      <c r="AX19" s="20"/>
      <c r="AY19" s="20"/>
      <c r="AZ19" s="20"/>
      <c r="BA19" s="20"/>
      <c r="BB19" s="13"/>
      <c r="BC19" s="20"/>
      <c r="BD19" s="20"/>
      <c r="BE19" s="20"/>
      <c r="BF19" s="20"/>
      <c r="BG19" s="14"/>
    </row>
    <row r="22" spans="2:98" x14ac:dyDescent="0.2">
      <c r="B22" t="s">
        <v>7</v>
      </c>
      <c r="D22" s="10">
        <v>6244.4</v>
      </c>
      <c r="E22" t="s">
        <v>9</v>
      </c>
      <c r="F22" s="10"/>
      <c r="G22" s="10"/>
      <c r="H22" s="10"/>
      <c r="J22" s="10"/>
      <c r="K22" s="10"/>
      <c r="L22" s="10"/>
      <c r="M22" s="10"/>
      <c r="N22" s="10"/>
      <c r="BZ22" t="s">
        <v>72</v>
      </c>
      <c r="CD22" t="s">
        <v>72</v>
      </c>
      <c r="CH22" t="s">
        <v>72</v>
      </c>
      <c r="CL22" t="s">
        <v>72</v>
      </c>
      <c r="CQ22">
        <f>Inddata!C9</f>
        <v>0</v>
      </c>
    </row>
    <row r="23" spans="2:98" x14ac:dyDescent="0.2">
      <c r="AJ23" t="s">
        <v>4</v>
      </c>
      <c r="AL23" t="s">
        <v>4</v>
      </c>
      <c r="AN23" t="s">
        <v>4</v>
      </c>
      <c r="AP23" t="s">
        <v>4</v>
      </c>
      <c r="AR23" t="s">
        <v>4</v>
      </c>
      <c r="AT23" t="s">
        <v>4</v>
      </c>
      <c r="AV23" t="s">
        <v>4</v>
      </c>
      <c r="AX23" t="s">
        <v>4</v>
      </c>
      <c r="AZ23" t="s">
        <v>4</v>
      </c>
      <c r="BB23" t="s">
        <v>4</v>
      </c>
      <c r="BD23" t="s">
        <v>4</v>
      </c>
      <c r="BF23" t="s">
        <v>4</v>
      </c>
      <c r="BI23" t="s">
        <v>66</v>
      </c>
      <c r="BM23" t="s">
        <v>67</v>
      </c>
      <c r="BQ23" t="s">
        <v>68</v>
      </c>
      <c r="BU23" t="s">
        <v>69</v>
      </c>
      <c r="BZ23" t="s">
        <v>66</v>
      </c>
      <c r="CD23" t="s">
        <v>67</v>
      </c>
      <c r="CH23" t="s">
        <v>68</v>
      </c>
      <c r="CL23" t="s">
        <v>69</v>
      </c>
    </row>
    <row r="24" spans="2:98" x14ac:dyDescent="0.2">
      <c r="B24" s="3" t="s">
        <v>8</v>
      </c>
      <c r="C24" s="1" t="s">
        <v>4</v>
      </c>
      <c r="D24" s="2" t="s">
        <v>5</v>
      </c>
      <c r="E24" s="1" t="s">
        <v>4</v>
      </c>
      <c r="F24" s="2" t="s">
        <v>5</v>
      </c>
      <c r="G24" s="1" t="s">
        <v>4</v>
      </c>
      <c r="H24" s="2" t="s">
        <v>5</v>
      </c>
      <c r="I24" s="39" t="s">
        <v>4</v>
      </c>
      <c r="J24" s="39" t="s">
        <v>5</v>
      </c>
      <c r="K24" s="1" t="s">
        <v>4</v>
      </c>
      <c r="L24" s="2" t="s">
        <v>5</v>
      </c>
      <c r="M24" s="39" t="s">
        <v>4</v>
      </c>
      <c r="N24" s="39" t="s">
        <v>5</v>
      </c>
      <c r="O24" s="1" t="s">
        <v>4</v>
      </c>
      <c r="P24" s="2" t="s">
        <v>5</v>
      </c>
      <c r="Q24" s="1" t="s">
        <v>4</v>
      </c>
      <c r="R24" s="2" t="s">
        <v>5</v>
      </c>
      <c r="S24" s="1" t="s">
        <v>4</v>
      </c>
      <c r="T24" s="2" t="s">
        <v>5</v>
      </c>
      <c r="U24" s="1" t="s">
        <v>4</v>
      </c>
      <c r="V24" s="2" t="s">
        <v>5</v>
      </c>
      <c r="W24" s="1" t="s">
        <v>4</v>
      </c>
      <c r="X24" s="2" t="s">
        <v>5</v>
      </c>
      <c r="Y24" s="1" t="s">
        <v>4</v>
      </c>
      <c r="Z24" s="2" t="s">
        <v>5</v>
      </c>
      <c r="AA24" s="11" t="s">
        <v>10</v>
      </c>
      <c r="AB24" s="12" t="s">
        <v>11</v>
      </c>
      <c r="AC24" s="11" t="s">
        <v>10</v>
      </c>
      <c r="AD24" s="12" t="s">
        <v>11</v>
      </c>
      <c r="AE24" s="11" t="s">
        <v>12</v>
      </c>
      <c r="AF24" s="12" t="s">
        <v>13</v>
      </c>
      <c r="AG24" s="11" t="s">
        <v>12</v>
      </c>
      <c r="AH24" s="12" t="s">
        <v>13</v>
      </c>
      <c r="AJ24" s="11">
        <f t="array" ref="AJ24:AK28">LINEST(C27:C29,$B$27:$B$29,TRUE,TRUE)</f>
        <v>-0.2167563547815459</v>
      </c>
      <c r="AK24" s="17">
        <v>4554.4734247024207</v>
      </c>
      <c r="AL24" s="17">
        <f t="array" ref="AL24:AM28">LINEST(E27:E29,$B$27:$B$29,TRUE,TRUE)</f>
        <v>-0.20256676296305315</v>
      </c>
      <c r="AM24" s="17">
        <v>4176.9393199694932</v>
      </c>
      <c r="AN24" s="17">
        <f t="array" ref="AN24:AO28">LINEST(G27:G29,$B$27:$B$29,TRUE,TRUE)</f>
        <v>-0.18952562686894883</v>
      </c>
      <c r="AO24" s="17">
        <v>3832.1017755360458</v>
      </c>
      <c r="AP24" s="11">
        <f t="array" ref="AP24:AQ28">LINEST(I27:I29,$B$27:$B$29,TRUE,TRUE)</f>
        <v>-0.20716429360669725</v>
      </c>
      <c r="AQ24" s="17">
        <v>3907.7835150332157</v>
      </c>
      <c r="AR24" s="17">
        <f t="array" ref="AR24:AS28">LINEST(K27:K29,$B$27:$B$29,TRUE,TRUE)</f>
        <v>-0.19442944048952179</v>
      </c>
      <c r="AS24" s="17">
        <v>3551.499880907254</v>
      </c>
      <c r="AT24" s="17">
        <f t="array" ref="AT24:AU28">LINEST(M27:M29,$B$27:$B$29,TRUE,TRUE)</f>
        <v>-0.18054588098088079</v>
      </c>
      <c r="AU24" s="17">
        <v>3215.8113246714192</v>
      </c>
      <c r="AV24" s="11">
        <f t="array" ref="AV24:AW28">LINEST(O27:O29,$B$27:$B$29,TRUE,TRUE)</f>
        <v>-0.18966088078320442</v>
      </c>
      <c r="AW24" s="17">
        <v>3161.8766296945714</v>
      </c>
      <c r="AX24" s="17">
        <f t="array" ref="AX24:AY28">LINEST(Q27:Q29,$B$27:$B$29,TRUE,TRUE)</f>
        <v>-0.17439441356478971</v>
      </c>
      <c r="AY24" s="17">
        <v>2826.6924401536876</v>
      </c>
      <c r="AZ24" s="17">
        <f t="array" ref="AZ24:BA28">LINEST(S27:S29,$B$27:$B$29,TRUE,TRUE)</f>
        <v>-0.15892244448778758</v>
      </c>
      <c r="BA24" s="17">
        <v>2520.3781058535023</v>
      </c>
      <c r="BB24" s="11">
        <f t="array" ref="BB24:BC28">LINEST(U27:U29,$B$27:$B$29,TRUE,TRUE)</f>
        <v>-0.18506345727347512</v>
      </c>
      <c r="BC24" s="17">
        <v>2375.3466828390601</v>
      </c>
      <c r="BD24" s="17">
        <f t="array" ref="BD24:BE28">LINEST(W27:W29,$B$27:$B$29,TRUE,TRUE)</f>
        <v>-0.15549373822423135</v>
      </c>
      <c r="BE24" s="17">
        <v>2001.7111388651872</v>
      </c>
      <c r="BF24" s="17">
        <f t="array" ref="BF24:BG28">LINEST(Y27:Y29,$B$27:$B$29,TRUE,TRUE)</f>
        <v>-0.1284285995926619</v>
      </c>
      <c r="BG24" s="12">
        <v>1677.3121701806508</v>
      </c>
      <c r="BI24">
        <v>6000</v>
      </c>
      <c r="BJ24">
        <f>AJ24</f>
        <v>-0.2167563547815459</v>
      </c>
      <c r="BK24">
        <f>AK24</f>
        <v>4554.4734247024207</v>
      </c>
      <c r="BM24">
        <v>6000</v>
      </c>
      <c r="BN24">
        <f>AP24</f>
        <v>-0.20716429360669725</v>
      </c>
      <c r="BO24">
        <f>AQ24</f>
        <v>3907.7835150332157</v>
      </c>
      <c r="BQ24">
        <v>6000</v>
      </c>
      <c r="BR24">
        <f>AV24</f>
        <v>-0.18966088078320442</v>
      </c>
      <c r="BS24">
        <f>AW24</f>
        <v>3161.8766296945714</v>
      </c>
      <c r="BU24">
        <v>6000</v>
      </c>
      <c r="BV24">
        <f>BB24</f>
        <v>-0.18506345727347512</v>
      </c>
      <c r="BW24">
        <f>BC24</f>
        <v>2375.3466828390601</v>
      </c>
      <c r="BZ24" s="46">
        <f t="array" ref="BZ24:CA28">LINEST(BJ24:BJ26,BI24:BI26,TRUE,TRUE)</f>
        <v>6.8076819781492664E-6</v>
      </c>
      <c r="CA24" s="46">
        <v>-0.25741103736304344</v>
      </c>
      <c r="CB24" s="30">
        <f t="array" ref="CB24:CC28">LINEST(BK24:BK26,BI24:BI26,TRUE,TRUE)</f>
        <v>-0.18059291229159377</v>
      </c>
      <c r="CC24" s="30">
        <v>5632.5814717354033</v>
      </c>
      <c r="CD24" s="46">
        <f t="array" ref="CD24:CE28">LINEST(BN24:BN26,BM24:BM26,TRUE,TRUE)</f>
        <v>6.654603156454117E-6</v>
      </c>
      <c r="CE24" s="46">
        <v>-0.24728336361066622</v>
      </c>
      <c r="CF24" s="30">
        <f t="array" ref="CF24:CG28">LINEST(BO24:BO26,BM24:BM26,TRUE,TRUE)</f>
        <v>-0.17299304759044917</v>
      </c>
      <c r="CG24" s="30">
        <v>4942.309287594223</v>
      </c>
      <c r="CH24" s="46">
        <f t="array" ref="CH24:CI28">LINEST(BR24:BR26,BQ24:BQ26,TRUE,TRUE)</f>
        <v>7.6846090738542127E-6</v>
      </c>
      <c r="CI24" s="46">
        <v>-0.23580278553609427</v>
      </c>
      <c r="CJ24" s="30">
        <f t="array" ref="CJ24:CK28">LINEST(BS24:BS26,BQ24:BQ26,TRUE,TRUE)</f>
        <v>-0.1603746309602673</v>
      </c>
      <c r="CK24" s="30">
        <v>4119.3127729160587</v>
      </c>
      <c r="CL24" s="46">
        <f t="array" ref="CL24:CM28">LINEST(BV24:BV26,BU24:BU26,TRUE,TRUE)</f>
        <v>1.415871442020331E-5</v>
      </c>
      <c r="CM24" s="46">
        <v>-0.26959831372508258</v>
      </c>
      <c r="CN24" s="30">
        <f t="array" ref="CN24:CO28">LINEST(BW24:BW26,BU24:BU26,TRUE,TRUE)</f>
        <v>-0.17450862816460236</v>
      </c>
      <c r="CO24" s="30">
        <v>3414.1923559451179</v>
      </c>
      <c r="CQ24">
        <f>$CQ$22*BZ24+CA24</f>
        <v>-0.25741103736304344</v>
      </c>
      <c r="CR24">
        <f>$CQ$22*CB24+CC24</f>
        <v>5632.5814717354033</v>
      </c>
      <c r="CT24">
        <f>CQ24*Inddata!C7+CR24</f>
        <v>4345.5262849201863</v>
      </c>
    </row>
    <row r="25" spans="2:98" x14ac:dyDescent="0.2">
      <c r="B25" s="5" t="s">
        <v>16</v>
      </c>
      <c r="C25" s="65" t="s">
        <v>0</v>
      </c>
      <c r="D25" s="66"/>
      <c r="E25" s="65" t="s">
        <v>0</v>
      </c>
      <c r="F25" s="66"/>
      <c r="G25" s="65" t="s">
        <v>0</v>
      </c>
      <c r="H25" s="66"/>
      <c r="I25" s="67" t="s">
        <v>29</v>
      </c>
      <c r="J25" s="67"/>
      <c r="K25" s="65" t="s">
        <v>29</v>
      </c>
      <c r="L25" s="66"/>
      <c r="M25" s="67" t="s">
        <v>29</v>
      </c>
      <c r="N25" s="67"/>
      <c r="O25" s="65" t="s">
        <v>1</v>
      </c>
      <c r="P25" s="66"/>
      <c r="Q25" s="65" t="s">
        <v>1</v>
      </c>
      <c r="R25" s="66"/>
      <c r="S25" s="65" t="s">
        <v>1</v>
      </c>
      <c r="T25" s="66"/>
      <c r="U25" s="65" t="s">
        <v>2</v>
      </c>
      <c r="V25" s="66"/>
      <c r="W25" s="65" t="s">
        <v>2</v>
      </c>
      <c r="X25" s="66"/>
      <c r="Y25" s="65" t="s">
        <v>2</v>
      </c>
      <c r="Z25" s="66"/>
      <c r="AA25" s="65" t="s">
        <v>0</v>
      </c>
      <c r="AB25" s="66"/>
      <c r="AC25" s="65" t="s">
        <v>29</v>
      </c>
      <c r="AD25" s="66"/>
      <c r="AE25" s="65" t="s">
        <v>1</v>
      </c>
      <c r="AF25" s="66"/>
      <c r="AG25" s="65" t="s">
        <v>2</v>
      </c>
      <c r="AH25" s="66"/>
      <c r="AJ25" s="18">
        <v>6.3535641192356837E-3</v>
      </c>
      <c r="AK25" s="19">
        <v>39.508067252143732</v>
      </c>
      <c r="AL25" s="19">
        <v>6.0609328571652422E-3</v>
      </c>
      <c r="AM25" s="19">
        <v>37.688412116067212</v>
      </c>
      <c r="AN25" s="19">
        <v>5.6670695219005942E-3</v>
      </c>
      <c r="AO25" s="19">
        <v>35.239270367315761</v>
      </c>
      <c r="AP25" s="18">
        <v>5.4603777136267946E-3</v>
      </c>
      <c r="AQ25" s="19">
        <v>33.954008472023709</v>
      </c>
      <c r="AR25" s="19">
        <v>5.2707277943744718E-3</v>
      </c>
      <c r="AS25" s="19">
        <v>32.77471734918764</v>
      </c>
      <c r="AT25" s="19">
        <v>5.5983127367968295E-3</v>
      </c>
      <c r="AU25" s="19">
        <v>34.811723302559379</v>
      </c>
      <c r="AV25" s="18">
        <v>5.1314192398775535E-3</v>
      </c>
      <c r="AW25" s="19">
        <v>31.908461553767218</v>
      </c>
      <c r="AX25" s="19">
        <v>6.2987009069344667E-3</v>
      </c>
      <c r="AY25" s="19">
        <v>39.166913934008043</v>
      </c>
      <c r="AZ25" s="19">
        <v>5.8563126117113212E-3</v>
      </c>
      <c r="BA25" s="19">
        <v>36.416031721877353</v>
      </c>
      <c r="BB25" s="18">
        <v>2.6791410821915045E-2</v>
      </c>
      <c r="BC25" s="19">
        <v>166.59576273535157</v>
      </c>
      <c r="BD25" s="19">
        <v>2.0006795862475276E-2</v>
      </c>
      <c r="BE25" s="19">
        <v>124.40731243138391</v>
      </c>
      <c r="BF25" s="19">
        <v>1.2864070343947973E-2</v>
      </c>
      <c r="BG25" s="16">
        <v>79.992040175734232</v>
      </c>
      <c r="BI25">
        <v>8000</v>
      </c>
      <c r="BJ25">
        <f>AL24</f>
        <v>-0.20256676296305315</v>
      </c>
      <c r="BK25">
        <f>AM24</f>
        <v>4176.9393199694932</v>
      </c>
      <c r="BM25">
        <v>8000</v>
      </c>
      <c r="BN25">
        <f>AR24</f>
        <v>-0.19442944048952179</v>
      </c>
      <c r="BO25">
        <f>AS24</f>
        <v>3551.499880907254</v>
      </c>
      <c r="BQ25">
        <v>8000</v>
      </c>
      <c r="BR25">
        <f>AX24</f>
        <v>-0.17439441356478971</v>
      </c>
      <c r="BS25">
        <f>AY24</f>
        <v>2826.6924401536876</v>
      </c>
      <c r="BU25">
        <v>8000</v>
      </c>
      <c r="BV25">
        <f>BD24</f>
        <v>-0.15549373822423135</v>
      </c>
      <c r="BW25">
        <f>BE24</f>
        <v>2001.7111388651872</v>
      </c>
      <c r="BZ25">
        <v>1.6576530540700685E-7</v>
      </c>
      <c r="CA25">
        <v>1.3534680510126139E-3</v>
      </c>
      <c r="CB25">
        <v>4.7193419726199639E-3</v>
      </c>
      <c r="CC25">
        <v>38.533265848729108</v>
      </c>
      <c r="CD25">
        <v>1.6580148608311866E-7</v>
      </c>
      <c r="CE25">
        <v>1.3537634649960233E-3</v>
      </c>
      <c r="CF25">
        <v>2.9726434409615681E-3</v>
      </c>
      <c r="CG25">
        <v>24.271532058623507</v>
      </c>
      <c r="CH25">
        <v>2.9661638343600617E-8</v>
      </c>
      <c r="CI25">
        <v>2.4218626292264644E-4</v>
      </c>
      <c r="CJ25">
        <v>4.1670046736707418E-3</v>
      </c>
      <c r="CK25">
        <v>34.023450687620155</v>
      </c>
      <c r="CL25">
        <v>3.6150504458783534E-7</v>
      </c>
      <c r="CM25">
        <v>2.9516763289409273E-3</v>
      </c>
      <c r="CN25">
        <v>7.1066874993184793E-3</v>
      </c>
      <c r="CO25">
        <v>58.025860449153498</v>
      </c>
      <c r="CQ25">
        <f>IF(AND(Inddata!Z11=3,Inddata!AA11=1),$CQ$22*BZ24+CA24,IF(AND(Inddata!Z11=3,Inddata!AA11=2),$CQ$22*CD24+CE24,IF(AND(Inddata!Z11=3,Inddata!AA11=3),$CQ$22*CH24+CI24,IF(AND(Inddata!Z11=3,Inddata!AA11=4),$CQ$22*CL24+CM24))))</f>
        <v>-0.25741103736304344</v>
      </c>
      <c r="CR25">
        <f>IF(AND(Inddata!Z11=3,Inddata!AA11=1),$CQ$22*CB24+CC24,IF(AND(Inddata!Z11=3,Inddata!AA11=2),$CQ$22*CF24+CG24,IF(AND(Inddata!Z11=3,Inddata!AA11=3),$CQ$22*CJ24+CK24,IF(AND(Inddata!Z11=3,Inddata!AA11=4),$CQ$22*CN24+CO24))))</f>
        <v>5632.5814717354033</v>
      </c>
      <c r="CT25">
        <f>CQ25*Inddata!C7+CR25</f>
        <v>4345.5262849201863</v>
      </c>
    </row>
    <row r="26" spans="2:98" x14ac:dyDescent="0.2">
      <c r="B26" s="4" t="s">
        <v>33</v>
      </c>
      <c r="C26" s="62" t="s">
        <v>30</v>
      </c>
      <c r="D26" s="63"/>
      <c r="E26" s="62" t="s">
        <v>31</v>
      </c>
      <c r="F26" s="63"/>
      <c r="G26" s="62" t="s">
        <v>32</v>
      </c>
      <c r="H26" s="63"/>
      <c r="I26" s="64" t="s">
        <v>30</v>
      </c>
      <c r="J26" s="64"/>
      <c r="K26" s="62" t="s">
        <v>31</v>
      </c>
      <c r="L26" s="63"/>
      <c r="M26" s="64" t="s">
        <v>32</v>
      </c>
      <c r="N26" s="64"/>
      <c r="O26" s="62" t="s">
        <v>30</v>
      </c>
      <c r="P26" s="63"/>
      <c r="Q26" s="62" t="s">
        <v>31</v>
      </c>
      <c r="R26" s="63"/>
      <c r="S26" s="62" t="s">
        <v>32</v>
      </c>
      <c r="T26" s="63"/>
      <c r="U26" s="62" t="s">
        <v>30</v>
      </c>
      <c r="V26" s="63"/>
      <c r="W26" s="62" t="s">
        <v>31</v>
      </c>
      <c r="X26" s="63"/>
      <c r="Y26" s="62" t="s">
        <v>32</v>
      </c>
      <c r="Z26" s="63"/>
      <c r="AA26" s="62" t="s">
        <v>0</v>
      </c>
      <c r="AB26" s="63"/>
      <c r="AC26" s="62" t="s">
        <v>29</v>
      </c>
      <c r="AD26" s="63"/>
      <c r="AE26" s="62" t="s">
        <v>1</v>
      </c>
      <c r="AF26" s="63"/>
      <c r="AG26" s="62" t="s">
        <v>2</v>
      </c>
      <c r="AH26" s="63"/>
      <c r="AJ26" s="18">
        <v>0.99914154373655872</v>
      </c>
      <c r="AK26" s="19">
        <v>17.970593093660341</v>
      </c>
      <c r="AL26" s="19">
        <v>0.99910555437719439</v>
      </c>
      <c r="AM26" s="19">
        <v>17.142906894471594</v>
      </c>
      <c r="AN26" s="19">
        <v>0.99910670876529384</v>
      </c>
      <c r="AO26" s="19">
        <v>16.028893153566059</v>
      </c>
      <c r="AP26" s="18">
        <v>0.99930575309608682</v>
      </c>
      <c r="AQ26" s="19">
        <v>15.444280436581607</v>
      </c>
      <c r="AR26" s="19">
        <v>0.99926565847838733</v>
      </c>
      <c r="AS26" s="19">
        <v>14.907869460762413</v>
      </c>
      <c r="AT26" s="19">
        <v>0.99903944601515415</v>
      </c>
      <c r="AU26" s="19">
        <v>15.834419597568228</v>
      </c>
      <c r="AV26" s="18">
        <v>0.99926852131268917</v>
      </c>
      <c r="AW26" s="19">
        <v>14.513845366514147</v>
      </c>
      <c r="AX26" s="19">
        <v>0.99869722121866289</v>
      </c>
      <c r="AY26" s="19">
        <v>17.815416495836871</v>
      </c>
      <c r="AZ26" s="19">
        <v>0.99864390945692205</v>
      </c>
      <c r="BA26" s="19">
        <v>16.564153441957501</v>
      </c>
      <c r="BB26" s="18">
        <v>0.97947222167726766</v>
      </c>
      <c r="BC26" s="19">
        <v>75.77755307892312</v>
      </c>
      <c r="BD26" s="19">
        <v>0.98371460148925549</v>
      </c>
      <c r="BE26" s="19">
        <v>56.587764096684907</v>
      </c>
      <c r="BF26" s="19">
        <v>0.99006660443214178</v>
      </c>
      <c r="BG26" s="16">
        <v>36.385085495465489</v>
      </c>
      <c r="BI26">
        <v>10000</v>
      </c>
      <c r="BJ26">
        <f>AN24</f>
        <v>-0.18952562686894883</v>
      </c>
      <c r="BK26">
        <f>AO24</f>
        <v>3832.1017755360458</v>
      </c>
      <c r="BM26">
        <v>10000</v>
      </c>
      <c r="BN26">
        <f>AT24</f>
        <v>-0.18054588098088079</v>
      </c>
      <c r="BO26">
        <f>AU24</f>
        <v>3215.8113246714192</v>
      </c>
      <c r="BQ26">
        <v>10000</v>
      </c>
      <c r="BR26">
        <f>AZ24</f>
        <v>-0.15892244448778758</v>
      </c>
      <c r="BS26">
        <f>BA24</f>
        <v>2520.3781058535023</v>
      </c>
      <c r="BU26">
        <v>10000</v>
      </c>
      <c r="BV26">
        <f>BF24</f>
        <v>-0.1284285995926619</v>
      </c>
      <c r="BW26">
        <f>BG24</f>
        <v>1677.3121701806508</v>
      </c>
      <c r="BZ26">
        <v>0.99940744135825266</v>
      </c>
      <c r="CA26">
        <v>4.6885508615501434E-4</v>
      </c>
      <c r="CB26">
        <v>0.99931755915521059</v>
      </c>
      <c r="CC26">
        <v>13.348314846311496</v>
      </c>
      <c r="CD26">
        <v>0.99937961255558849</v>
      </c>
      <c r="CE26">
        <v>4.6895742056072068E-4</v>
      </c>
      <c r="CF26">
        <v>0.99970481103176412</v>
      </c>
      <c r="CG26">
        <v>8.4079053406145476</v>
      </c>
      <c r="CH26">
        <v>0.99998510157901987</v>
      </c>
      <c r="CI26">
        <v>8.3895782455451623E-5</v>
      </c>
      <c r="CJ26">
        <v>0.99932534221515223</v>
      </c>
      <c r="CK26">
        <v>11.78606904795447</v>
      </c>
      <c r="CL26">
        <v>0.99934852454892809</v>
      </c>
      <c r="CM26">
        <v>1.0224906738448142E-3</v>
      </c>
      <c r="CN26">
        <v>0.99834430257897089</v>
      </c>
      <c r="CO26">
        <v>20.100747690167054</v>
      </c>
    </row>
    <row r="27" spans="2:98" x14ac:dyDescent="0.2">
      <c r="B27" s="5">
        <v>4000</v>
      </c>
      <c r="C27" s="6">
        <v>3694.7844694853457</v>
      </c>
      <c r="D27" s="7">
        <v>7357.9431348448097</v>
      </c>
      <c r="E27" s="37">
        <v>3373.6708305505299</v>
      </c>
      <c r="F27" s="37">
        <v>9000.0194114342812</v>
      </c>
      <c r="G27" s="6">
        <v>3080.5430362882216</v>
      </c>
      <c r="H27" s="7">
        <v>10670.081532698872</v>
      </c>
      <c r="I27" s="37">
        <v>3085.4314416921056</v>
      </c>
      <c r="J27" s="37">
        <v>6746.5901070513801</v>
      </c>
      <c r="K27" s="6">
        <v>2779.8682311709813</v>
      </c>
      <c r="L27" s="7">
        <v>8404.2168120554725</v>
      </c>
      <c r="M27" s="37">
        <v>2500.0921754790907</v>
      </c>
      <c r="N27" s="37">
        <v>10087.630671889528</v>
      </c>
      <c r="O27" s="6">
        <v>2409.1583591206895</v>
      </c>
      <c r="P27" s="7">
        <v>6067.3170244793037</v>
      </c>
      <c r="Q27" s="6">
        <v>2136.3878992228556</v>
      </c>
      <c r="R27" s="7">
        <v>7757.7364801074064</v>
      </c>
      <c r="S27" s="6">
        <v>1891.4506152280121</v>
      </c>
      <c r="T27" s="7">
        <v>9475.9891116392155</v>
      </c>
      <c r="U27" s="6">
        <v>1666.0289102451643</v>
      </c>
      <c r="V27" s="7">
        <v>5319.1875756039444</v>
      </c>
      <c r="W27" s="6">
        <v>1402.8380439219056</v>
      </c>
      <c r="X27" s="7">
        <v>7019.1866248065608</v>
      </c>
      <c r="Y27" s="6">
        <v>1178.4519207619082</v>
      </c>
      <c r="Z27" s="7">
        <v>8757.9904171734579</v>
      </c>
      <c r="AA27" s="6"/>
      <c r="AB27" s="16"/>
      <c r="AC27" s="6"/>
      <c r="AD27" s="16"/>
      <c r="AE27" s="6"/>
      <c r="AF27" s="16"/>
      <c r="AG27" s="6"/>
      <c r="AH27" s="16"/>
      <c r="AJ27" s="18">
        <v>1163.8817098627728</v>
      </c>
      <c r="AK27" s="19">
        <v>1</v>
      </c>
      <c r="AL27" s="19">
        <v>1117.0109494675676</v>
      </c>
      <c r="AM27" s="19">
        <v>1</v>
      </c>
      <c r="AN27" s="19">
        <v>1118.455739794445</v>
      </c>
      <c r="AO27" s="19">
        <v>1</v>
      </c>
      <c r="AP27" s="18">
        <v>1439.4097365987029</v>
      </c>
      <c r="AQ27" s="19">
        <v>1</v>
      </c>
      <c r="AR27" s="19">
        <v>1360.7642072096824</v>
      </c>
      <c r="AS27" s="19">
        <v>1</v>
      </c>
      <c r="AT27" s="19">
        <v>1040.0659013199631</v>
      </c>
      <c r="AU27" s="19">
        <v>1</v>
      </c>
      <c r="AV27" s="18">
        <v>1366.0938297277776</v>
      </c>
      <c r="AW27" s="19">
        <v>1</v>
      </c>
      <c r="AX27" s="19">
        <v>766.59002704481236</v>
      </c>
      <c r="AY27" s="19">
        <v>1</v>
      </c>
      <c r="AZ27" s="19">
        <v>736.4138881097125</v>
      </c>
      <c r="BA27" s="19">
        <v>1</v>
      </c>
      <c r="BB27" s="18">
        <v>47.714477732478635</v>
      </c>
      <c r="BC27" s="19">
        <v>1</v>
      </c>
      <c r="BD27" s="19">
        <v>60.404699390084573</v>
      </c>
      <c r="BE27" s="19">
        <v>1</v>
      </c>
      <c r="BF27" s="19">
        <v>99.670510216641517</v>
      </c>
      <c r="BG27" s="16">
        <v>1</v>
      </c>
      <c r="BZ27">
        <v>1686.5966858761585</v>
      </c>
      <c r="CA27">
        <v>1</v>
      </c>
      <c r="CB27">
        <v>1464.3284715228117</v>
      </c>
      <c r="CC27">
        <v>1</v>
      </c>
      <c r="CD27">
        <v>1610.8959353675352</v>
      </c>
      <c r="CE27">
        <v>1</v>
      </c>
      <c r="CF27">
        <v>3386.6604738175665</v>
      </c>
      <c r="CG27">
        <v>1</v>
      </c>
      <c r="CH27">
        <v>67120.20709527994</v>
      </c>
      <c r="CI27">
        <v>1</v>
      </c>
      <c r="CJ27">
        <v>1481.2329519634184</v>
      </c>
      <c r="CK27">
        <v>1</v>
      </c>
      <c r="CL27">
        <v>1533.977255635139</v>
      </c>
      <c r="CM27">
        <v>1</v>
      </c>
      <c r="CN27">
        <v>602.97509067717021</v>
      </c>
      <c r="CO27">
        <v>1</v>
      </c>
    </row>
    <row r="28" spans="2:98" x14ac:dyDescent="0.2">
      <c r="B28" s="5">
        <v>6000</v>
      </c>
      <c r="C28" s="6">
        <v>3239.2623681949285</v>
      </c>
      <c r="D28" s="7">
        <v>8916.9130656728448</v>
      </c>
      <c r="E28" s="37">
        <v>2947.5416173246763</v>
      </c>
      <c r="F28" s="37">
        <v>10588.382230329085</v>
      </c>
      <c r="G28" s="6">
        <v>2681.8604778664103</v>
      </c>
      <c r="H28" s="7">
        <v>12285.891006395766</v>
      </c>
      <c r="I28" s="37">
        <v>2652.1875512216748</v>
      </c>
      <c r="J28" s="37">
        <v>8327.8382486998307</v>
      </c>
      <c r="K28" s="6">
        <v>2372.7510135264938</v>
      </c>
      <c r="L28" s="7">
        <v>10011.591626531421</v>
      </c>
      <c r="M28" s="37">
        <v>2119.6072893237451</v>
      </c>
      <c r="N28" s="37">
        <v>11721.637817853245</v>
      </c>
      <c r="O28" s="6">
        <v>2012.0608398774721</v>
      </c>
      <c r="P28" s="7">
        <v>7684.7115373561892</v>
      </c>
      <c r="Q28" s="6">
        <v>1765.7797321082951</v>
      </c>
      <c r="R28" s="7">
        <v>9401.6203451127385</v>
      </c>
      <c r="S28" s="6">
        <v>1553.3188642754565</v>
      </c>
      <c r="T28" s="7">
        <v>11152.349392804945</v>
      </c>
      <c r="U28" s="6">
        <v>1203.0938261981994</v>
      </c>
      <c r="V28" s="7">
        <v>6870.7445236769117</v>
      </c>
      <c r="W28" s="6">
        <v>1022.5449936125111</v>
      </c>
      <c r="X28" s="7">
        <v>8653.3856066162607</v>
      </c>
      <c r="Y28" s="6">
        <v>877.03227472086871</v>
      </c>
      <c r="Z28" s="7">
        <v>10471.062803250561</v>
      </c>
      <c r="AA28" s="6"/>
      <c r="AB28" s="16"/>
      <c r="AC28" s="6"/>
      <c r="AD28" s="16"/>
      <c r="AE28" s="6"/>
      <c r="AF28" s="16"/>
      <c r="AG28" s="6"/>
      <c r="AH28" s="16"/>
      <c r="AJ28" s="18">
        <v>375866.53870546701</v>
      </c>
      <c r="AK28" s="19">
        <v>322.94221613791274</v>
      </c>
      <c r="AL28" s="19">
        <v>328266.34765863774</v>
      </c>
      <c r="AM28" s="19">
        <v>293.87925679252169</v>
      </c>
      <c r="AN28" s="19">
        <v>287359.70592054422</v>
      </c>
      <c r="AO28" s="19">
        <v>256.92541572843692</v>
      </c>
      <c r="AP28" s="18">
        <v>343336.35636449454</v>
      </c>
      <c r="AQ28" s="19">
        <v>238.52579820377736</v>
      </c>
      <c r="AR28" s="19">
        <v>302422.45863254787</v>
      </c>
      <c r="AS28" s="19">
        <v>222.24457185913261</v>
      </c>
      <c r="AT28" s="19">
        <v>260774.5211132988</v>
      </c>
      <c r="AU28" s="19">
        <v>250.72884399185278</v>
      </c>
      <c r="AV28" s="18">
        <v>287769.99759568699</v>
      </c>
      <c r="AW28" s="19">
        <v>210.65170732308417</v>
      </c>
      <c r="AX28" s="19">
        <v>243307.29186085513</v>
      </c>
      <c r="AY28" s="19">
        <v>317.38906492013649</v>
      </c>
      <c r="AZ28" s="19">
        <v>202050.74689579124</v>
      </c>
      <c r="BA28" s="19">
        <v>274.37117924871251</v>
      </c>
      <c r="BB28" s="18">
        <v>273987.86574409058</v>
      </c>
      <c r="BC28" s="19">
        <v>5742.2375506290109</v>
      </c>
      <c r="BD28" s="19">
        <v>193426.42101556621</v>
      </c>
      <c r="BE28" s="19">
        <v>3202.1750454620615</v>
      </c>
      <c r="BF28" s="19">
        <v>131951.24154665813</v>
      </c>
      <c r="BG28" s="16">
        <v>1323.8744465123332</v>
      </c>
      <c r="BZ28">
        <v>3.7075627132494642E-4</v>
      </c>
      <c r="CA28">
        <v>2.1982509181342592E-7</v>
      </c>
      <c r="CB28">
        <v>260910.3997596741</v>
      </c>
      <c r="CC28">
        <v>178.17750923625988</v>
      </c>
      <c r="CD28">
        <v>3.542699453591126E-4</v>
      </c>
      <c r="CE28">
        <v>2.1992106229896463E-7</v>
      </c>
      <c r="CF28">
        <v>239412.75611705118</v>
      </c>
      <c r="CG28">
        <v>70.692872216734628</v>
      </c>
      <c r="CH28">
        <v>4.7242573294369961E-4</v>
      </c>
      <c r="CI28">
        <v>7.0385023138124641E-9</v>
      </c>
      <c r="CJ28">
        <v>205760.17804513531</v>
      </c>
      <c r="CK28">
        <v>138.91142360315038</v>
      </c>
      <c r="CL28">
        <v>1.6037535522629841E-3</v>
      </c>
      <c r="CM28">
        <v>1.0454871780996221E-6</v>
      </c>
      <c r="CN28">
        <v>243626.09043113148</v>
      </c>
      <c r="CO28">
        <v>404.04005770375619</v>
      </c>
    </row>
    <row r="29" spans="2:98" x14ac:dyDescent="0.2">
      <c r="B29" s="4">
        <v>8000</v>
      </c>
      <c r="C29" s="8">
        <v>2827.7590503591623</v>
      </c>
      <c r="D29" s="9">
        <v>10519.901779958274</v>
      </c>
      <c r="E29" s="38">
        <v>2563.4037786983176</v>
      </c>
      <c r="F29" s="38">
        <v>12218.736423819937</v>
      </c>
      <c r="G29" s="8">
        <v>2322.4405288124262</v>
      </c>
      <c r="H29" s="9">
        <v>13940.963089455068</v>
      </c>
      <c r="I29" s="38">
        <v>2256.7742672653171</v>
      </c>
      <c r="J29" s="38">
        <v>9946.9169968638998</v>
      </c>
      <c r="K29" s="8">
        <v>2002.1504692128942</v>
      </c>
      <c r="L29" s="9">
        <v>11655.48311433414</v>
      </c>
      <c r="M29" s="38">
        <v>1777.9086515555678</v>
      </c>
      <c r="N29" s="38">
        <v>13394.43121219768</v>
      </c>
      <c r="O29" s="8">
        <v>1650.5148359878719</v>
      </c>
      <c r="P29" s="9">
        <v>9337.6575655856141</v>
      </c>
      <c r="Q29" s="8">
        <v>1438.810244963697</v>
      </c>
      <c r="R29" s="9">
        <v>11089.142890085408</v>
      </c>
      <c r="S29" s="8">
        <v>1255.760837276862</v>
      </c>
      <c r="T29" s="9">
        <v>12869.283397919422</v>
      </c>
      <c r="U29" s="8">
        <v>925.77508115126409</v>
      </c>
      <c r="V29" s="9">
        <v>8607.9178107483858</v>
      </c>
      <c r="W29" s="8">
        <v>780.86309102498035</v>
      </c>
      <c r="X29" s="9">
        <v>10426.195736146165</v>
      </c>
      <c r="Y29" s="8">
        <v>664.73752239126077</v>
      </c>
      <c r="Z29" s="9">
        <v>12273.260083034609</v>
      </c>
      <c r="AA29" s="8"/>
      <c r="AB29" s="14"/>
      <c r="AC29" s="8"/>
      <c r="AD29" s="14"/>
      <c r="AE29" s="8"/>
      <c r="AF29" s="14"/>
      <c r="AG29" s="8"/>
      <c r="AH29" s="14"/>
      <c r="AJ29" s="13"/>
      <c r="AK29" s="20"/>
      <c r="AL29" s="20"/>
      <c r="AM29" s="20"/>
      <c r="AN29" s="20"/>
      <c r="AO29" s="20"/>
      <c r="AP29" s="13"/>
      <c r="AQ29" s="20"/>
      <c r="AR29" s="20"/>
      <c r="AS29" s="20"/>
      <c r="AT29" s="20"/>
      <c r="AU29" s="20"/>
      <c r="AV29" s="13"/>
      <c r="AW29" s="20"/>
      <c r="AX29" s="20"/>
      <c r="AY29" s="20"/>
      <c r="AZ29" s="20"/>
      <c r="BA29" s="20"/>
      <c r="BB29" s="13"/>
      <c r="BC29" s="20"/>
      <c r="BD29" s="20"/>
      <c r="BE29" s="20"/>
      <c r="BF29" s="20"/>
      <c r="BG29" s="14"/>
    </row>
    <row r="31" spans="2:98" x14ac:dyDescent="0.2">
      <c r="CT31" s="50">
        <f>IF(Inddata!Z11=1,CT4,IF(Inddata!Z11=2,CT14,IF(Inddata!Z11=3,CT24)))</f>
        <v>4345.5262849201863</v>
      </c>
    </row>
    <row r="32" spans="2:98" x14ac:dyDescent="0.2">
      <c r="CT32" s="48">
        <f>CT5+CT15+CT25</f>
        <v>4345.5262849201863</v>
      </c>
    </row>
  </sheetData>
  <mergeCells count="96">
    <mergeCell ref="AE25:AF25"/>
    <mergeCell ref="AG25:AH25"/>
    <mergeCell ref="C25:D25"/>
    <mergeCell ref="I25:J25"/>
    <mergeCell ref="O25:P25"/>
    <mergeCell ref="U25:V25"/>
    <mergeCell ref="AA25:AB25"/>
    <mergeCell ref="AC25:AD25"/>
    <mergeCell ref="E25:F25"/>
    <mergeCell ref="G25:H25"/>
    <mergeCell ref="K25:L25"/>
    <mergeCell ref="M25:N25"/>
    <mergeCell ref="Q25:R25"/>
    <mergeCell ref="S25:T25"/>
    <mergeCell ref="W25:X25"/>
    <mergeCell ref="Y25:Z25"/>
    <mergeCell ref="AE5:AF5"/>
    <mergeCell ref="AG5:AH5"/>
    <mergeCell ref="C15:D15"/>
    <mergeCell ref="I15:J15"/>
    <mergeCell ref="O15:P15"/>
    <mergeCell ref="U15:V15"/>
    <mergeCell ref="AA15:AB15"/>
    <mergeCell ref="AC15:AD15"/>
    <mergeCell ref="AE15:AF15"/>
    <mergeCell ref="AG15:AH15"/>
    <mergeCell ref="C5:D5"/>
    <mergeCell ref="I5:J5"/>
    <mergeCell ref="O5:P5"/>
    <mergeCell ref="U5:V5"/>
    <mergeCell ref="AA5:AB5"/>
    <mergeCell ref="AC5:AD5"/>
    <mergeCell ref="E5:F5"/>
    <mergeCell ref="G5:H5"/>
    <mergeCell ref="K5:L5"/>
    <mergeCell ref="M5:N5"/>
    <mergeCell ref="Q5:R5"/>
    <mergeCell ref="S5:T5"/>
    <mergeCell ref="W5:X5"/>
    <mergeCell ref="Y5:Z5"/>
    <mergeCell ref="E15:F15"/>
    <mergeCell ref="G15:H15"/>
    <mergeCell ref="K15:L15"/>
    <mergeCell ref="M15:N15"/>
    <mergeCell ref="Q15:R15"/>
    <mergeCell ref="S15:T15"/>
    <mergeCell ref="W15:X15"/>
    <mergeCell ref="Y15:Z15"/>
    <mergeCell ref="M6:N6"/>
    <mergeCell ref="O6:P6"/>
    <mergeCell ref="Q6:R6"/>
    <mergeCell ref="S6:T6"/>
    <mergeCell ref="U6:V6"/>
    <mergeCell ref="C6:D6"/>
    <mergeCell ref="E6:F6"/>
    <mergeCell ref="G6:H6"/>
    <mergeCell ref="I6:J6"/>
    <mergeCell ref="K6:L6"/>
    <mergeCell ref="AE16:AF16"/>
    <mergeCell ref="W6:X6"/>
    <mergeCell ref="Y6:Z6"/>
    <mergeCell ref="AA6:AB6"/>
    <mergeCell ref="AC6:AD6"/>
    <mergeCell ref="AE6:AF6"/>
    <mergeCell ref="AE26:AF26"/>
    <mergeCell ref="AG6:AH6"/>
    <mergeCell ref="C16:D16"/>
    <mergeCell ref="E16:F16"/>
    <mergeCell ref="G16:H16"/>
    <mergeCell ref="I16:J16"/>
    <mergeCell ref="K16:L16"/>
    <mergeCell ref="M16:N16"/>
    <mergeCell ref="O16:P16"/>
    <mergeCell ref="Q16:R16"/>
    <mergeCell ref="S16:T16"/>
    <mergeCell ref="U16:V16"/>
    <mergeCell ref="W16:X16"/>
    <mergeCell ref="Y16:Z16"/>
    <mergeCell ref="AA16:AB16"/>
    <mergeCell ref="AC16:AD16"/>
    <mergeCell ref="AG26:AH26"/>
    <mergeCell ref="AG16:AH16"/>
    <mergeCell ref="C26:D26"/>
    <mergeCell ref="E26:F26"/>
    <mergeCell ref="G26:H26"/>
    <mergeCell ref="I26:J26"/>
    <mergeCell ref="K26:L26"/>
    <mergeCell ref="M26:N26"/>
    <mergeCell ref="O26:P26"/>
    <mergeCell ref="Q26:R26"/>
    <mergeCell ref="S26:T26"/>
    <mergeCell ref="U26:V26"/>
    <mergeCell ref="W26:X26"/>
    <mergeCell ref="Y26:Z26"/>
    <mergeCell ref="AA26:AB26"/>
    <mergeCell ref="AC26:AD26"/>
  </mergeCells>
  <conditionalFormatting sqref="AJ3:AK3">
    <cfRule type="duplicateValues" dxfId="77" priority="48"/>
  </conditionalFormatting>
  <conditionalFormatting sqref="AR3:AS3">
    <cfRule type="duplicateValues" dxfId="76" priority="45"/>
  </conditionalFormatting>
  <conditionalFormatting sqref="AV3:AW3">
    <cfRule type="duplicateValues" dxfId="75" priority="42"/>
  </conditionalFormatting>
  <conditionalFormatting sqref="AN3:AO3">
    <cfRule type="duplicateValues" dxfId="74" priority="39"/>
  </conditionalFormatting>
  <conditionalFormatting sqref="AM3">
    <cfRule type="duplicateValues" dxfId="73" priority="36"/>
  </conditionalFormatting>
  <conditionalFormatting sqref="AL3">
    <cfRule type="duplicateValues" dxfId="72" priority="35"/>
  </conditionalFormatting>
  <conditionalFormatting sqref="AP3">
    <cfRule type="duplicateValues" dxfId="71" priority="34"/>
  </conditionalFormatting>
  <conditionalFormatting sqref="AT3">
    <cfRule type="duplicateValues" dxfId="70" priority="33"/>
  </conditionalFormatting>
  <conditionalFormatting sqref="AX3">
    <cfRule type="duplicateValues" dxfId="69" priority="31"/>
  </conditionalFormatting>
  <conditionalFormatting sqref="AZ3:BA3">
    <cfRule type="duplicateValues" dxfId="68" priority="30"/>
  </conditionalFormatting>
  <conditionalFormatting sqref="BB3:BC3">
    <cfRule type="duplicateValues" dxfId="67" priority="29"/>
  </conditionalFormatting>
  <conditionalFormatting sqref="BD3:BE3">
    <cfRule type="duplicateValues" dxfId="66" priority="28"/>
  </conditionalFormatting>
  <conditionalFormatting sqref="BF3:BG3">
    <cfRule type="duplicateValues" dxfId="65" priority="27"/>
  </conditionalFormatting>
  <conditionalFormatting sqref="AJ13:AK13">
    <cfRule type="duplicateValues" dxfId="64" priority="26"/>
  </conditionalFormatting>
  <conditionalFormatting sqref="AR13:AS13">
    <cfRule type="duplicateValues" dxfId="63" priority="25"/>
  </conditionalFormatting>
  <conditionalFormatting sqref="AV13:AW13">
    <cfRule type="duplicateValues" dxfId="62" priority="24"/>
  </conditionalFormatting>
  <conditionalFormatting sqref="AN13:AO13">
    <cfRule type="duplicateValues" dxfId="61" priority="23"/>
  </conditionalFormatting>
  <conditionalFormatting sqref="AM13">
    <cfRule type="duplicateValues" dxfId="60" priority="22"/>
  </conditionalFormatting>
  <conditionalFormatting sqref="AL13">
    <cfRule type="duplicateValues" dxfId="59" priority="21"/>
  </conditionalFormatting>
  <conditionalFormatting sqref="AP13">
    <cfRule type="duplicateValues" dxfId="58" priority="20"/>
  </conditionalFormatting>
  <conditionalFormatting sqref="AT13">
    <cfRule type="duplicateValues" dxfId="57" priority="19"/>
  </conditionalFormatting>
  <conditionalFormatting sqref="AX13">
    <cfRule type="duplicateValues" dxfId="56" priority="18"/>
  </conditionalFormatting>
  <conditionalFormatting sqref="AZ13:BA13">
    <cfRule type="duplicateValues" dxfId="55" priority="17"/>
  </conditionalFormatting>
  <conditionalFormatting sqref="BB13:BC13">
    <cfRule type="duplicateValues" dxfId="54" priority="16"/>
  </conditionalFormatting>
  <conditionalFormatting sqref="BD13:BE13">
    <cfRule type="duplicateValues" dxfId="53" priority="15"/>
  </conditionalFormatting>
  <conditionalFormatting sqref="BF13:BG13">
    <cfRule type="duplicateValues" dxfId="52" priority="14"/>
  </conditionalFormatting>
  <conditionalFormatting sqref="AJ23:AK23">
    <cfRule type="duplicateValues" dxfId="51" priority="13"/>
  </conditionalFormatting>
  <conditionalFormatting sqref="AR23:AS23">
    <cfRule type="duplicateValues" dxfId="50" priority="12"/>
  </conditionalFormatting>
  <conditionalFormatting sqref="AV23:AW23">
    <cfRule type="duplicateValues" dxfId="49" priority="11"/>
  </conditionalFormatting>
  <conditionalFormatting sqref="AN23:AO23">
    <cfRule type="duplicateValues" dxfId="48" priority="10"/>
  </conditionalFormatting>
  <conditionalFormatting sqref="AM23">
    <cfRule type="duplicateValues" dxfId="47" priority="9"/>
  </conditionalFormatting>
  <conditionalFormatting sqref="AL23">
    <cfRule type="duplicateValues" dxfId="46" priority="8"/>
  </conditionalFormatting>
  <conditionalFormatting sqref="AP23">
    <cfRule type="duplicateValues" dxfId="45" priority="7"/>
  </conditionalFormatting>
  <conditionalFormatting sqref="AT23">
    <cfRule type="duplicateValues" dxfId="44" priority="6"/>
  </conditionalFormatting>
  <conditionalFormatting sqref="AX23">
    <cfRule type="duplicateValues" dxfId="43" priority="5"/>
  </conditionalFormatting>
  <conditionalFormatting sqref="AZ23:BA23">
    <cfRule type="duplicateValues" dxfId="42" priority="4"/>
  </conditionalFormatting>
  <conditionalFormatting sqref="BB23:BC23">
    <cfRule type="duplicateValues" dxfId="41" priority="3"/>
  </conditionalFormatting>
  <conditionalFormatting sqref="BD23:BE23">
    <cfRule type="duplicateValues" dxfId="40" priority="2"/>
  </conditionalFormatting>
  <conditionalFormatting sqref="BF23:BG23">
    <cfRule type="duplicateValues" dxfId="39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P123"/>
  <sheetViews>
    <sheetView workbookViewId="0"/>
  </sheetViews>
  <sheetFormatPr defaultRowHeight="12.75" x14ac:dyDescent="0.2"/>
  <cols>
    <col min="1" max="1" width="3.625" customWidth="1"/>
    <col min="8" max="8" width="11.875" bestFit="1" customWidth="1"/>
    <col min="9" max="11" width="9.125" bestFit="1" customWidth="1"/>
  </cols>
  <sheetData>
    <row r="2" spans="2:13" x14ac:dyDescent="0.2">
      <c r="B2" s="46" t="s">
        <v>70</v>
      </c>
      <c r="C2" s="46"/>
    </row>
    <row r="3" spans="2:13" x14ac:dyDescent="0.2">
      <c r="B3" t="s">
        <v>8</v>
      </c>
      <c r="C3" t="s">
        <v>16</v>
      </c>
      <c r="D3" t="s">
        <v>33</v>
      </c>
      <c r="E3" t="s">
        <v>5</v>
      </c>
      <c r="F3" t="s">
        <v>63</v>
      </c>
      <c r="H3" t="s">
        <v>34</v>
      </c>
    </row>
    <row r="4" spans="2:13" ht="13.5" thickBot="1" x14ac:dyDescent="0.25">
      <c r="B4" s="19">
        <v>4000</v>
      </c>
      <c r="C4">
        <v>0</v>
      </c>
      <c r="D4">
        <v>6000</v>
      </c>
      <c r="E4" s="37">
        <v>7915.9830274481355</v>
      </c>
      <c r="F4">
        <f>$I$20*B4+$I$21*C4+$I$22*D4+$I$19</f>
        <v>7539.3263890384087</v>
      </c>
    </row>
    <row r="5" spans="2:13" x14ac:dyDescent="0.2">
      <c r="B5" s="19">
        <v>6000</v>
      </c>
      <c r="C5">
        <v>0</v>
      </c>
      <c r="D5">
        <v>6000</v>
      </c>
      <c r="E5" s="37">
        <v>9622.5054519872119</v>
      </c>
      <c r="F5">
        <f t="shared" ref="F5:F39" si="0">$I$20*B5+$I$21*C5+$I$22*D5+$I$19</f>
        <v>9424.3002388984933</v>
      </c>
      <c r="H5" s="43" t="s">
        <v>35</v>
      </c>
      <c r="I5" s="43"/>
    </row>
    <row r="6" spans="2:13" x14ac:dyDescent="0.2">
      <c r="B6" s="19">
        <v>8000</v>
      </c>
      <c r="C6">
        <v>0</v>
      </c>
      <c r="D6">
        <v>6000</v>
      </c>
      <c r="E6" s="37">
        <v>11392.519659800191</v>
      </c>
      <c r="F6">
        <f t="shared" si="0"/>
        <v>11309.274088758575</v>
      </c>
      <c r="H6" s="40" t="s">
        <v>36</v>
      </c>
      <c r="I6" s="40">
        <v>0.99790451260277935</v>
      </c>
    </row>
    <row r="7" spans="2:13" x14ac:dyDescent="0.2">
      <c r="B7" s="19">
        <v>4000</v>
      </c>
      <c r="C7">
        <v>0</v>
      </c>
      <c r="D7">
        <v>8000</v>
      </c>
      <c r="E7" s="37">
        <v>9686.2095297173819</v>
      </c>
      <c r="F7">
        <f t="shared" si="0"/>
        <v>9435.3915691677066</v>
      </c>
      <c r="H7" s="40" t="s">
        <v>37</v>
      </c>
      <c r="I7" s="40">
        <v>0.99581341627299058</v>
      </c>
    </row>
    <row r="8" spans="2:13" x14ac:dyDescent="0.2">
      <c r="B8" s="19">
        <v>6000</v>
      </c>
      <c r="C8">
        <v>0</v>
      </c>
      <c r="D8">
        <v>8000</v>
      </c>
      <c r="E8" s="37">
        <v>11436.253195594994</v>
      </c>
      <c r="F8">
        <f t="shared" si="0"/>
        <v>11320.365419027792</v>
      </c>
      <c r="H8" s="40" t="s">
        <v>38</v>
      </c>
      <c r="I8" s="40">
        <v>0.9954209240485834</v>
      </c>
    </row>
    <row r="9" spans="2:13" x14ac:dyDescent="0.2">
      <c r="B9" s="19">
        <v>8000</v>
      </c>
      <c r="C9">
        <v>0</v>
      </c>
      <c r="D9">
        <v>8000</v>
      </c>
      <c r="E9" s="37">
        <v>13243.36630202517</v>
      </c>
      <c r="F9">
        <f t="shared" si="0"/>
        <v>13205.339268887874</v>
      </c>
      <c r="H9" s="40" t="s">
        <v>39</v>
      </c>
      <c r="I9" s="40">
        <v>150.96201894990037</v>
      </c>
    </row>
    <row r="10" spans="2:13" ht="13.5" thickBot="1" x14ac:dyDescent="0.25">
      <c r="B10" s="19">
        <v>4000</v>
      </c>
      <c r="C10">
        <v>0</v>
      </c>
      <c r="D10">
        <v>10000</v>
      </c>
      <c r="E10" s="37">
        <v>11497.014896037868</v>
      </c>
      <c r="F10">
        <f t="shared" si="0"/>
        <v>11331.456749297005</v>
      </c>
      <c r="H10" s="41" t="s">
        <v>40</v>
      </c>
      <c r="I10" s="41">
        <v>36</v>
      </c>
    </row>
    <row r="11" spans="2:13" x14ac:dyDescent="0.2">
      <c r="B11" s="19">
        <v>6000</v>
      </c>
      <c r="C11">
        <v>0</v>
      </c>
      <c r="D11">
        <v>10000</v>
      </c>
      <c r="E11" s="37">
        <v>13284.040611650027</v>
      </c>
      <c r="F11">
        <f t="shared" si="0"/>
        <v>13216.430599157087</v>
      </c>
    </row>
    <row r="12" spans="2:13" ht="13.5" thickBot="1" x14ac:dyDescent="0.25">
      <c r="B12" s="19">
        <v>8000</v>
      </c>
      <c r="C12">
        <v>0</v>
      </c>
      <c r="D12">
        <v>10000</v>
      </c>
      <c r="E12" s="37">
        <v>15121.483999455366</v>
      </c>
      <c r="F12">
        <f t="shared" si="0"/>
        <v>15101.404449017173</v>
      </c>
      <c r="H12" t="s">
        <v>41</v>
      </c>
    </row>
    <row r="13" spans="2:13" x14ac:dyDescent="0.2">
      <c r="B13" s="19">
        <v>4000</v>
      </c>
      <c r="C13">
        <v>2</v>
      </c>
      <c r="D13">
        <v>6000</v>
      </c>
      <c r="E13" s="37">
        <v>7420.5621653987382</v>
      </c>
      <c r="F13">
        <f t="shared" si="0"/>
        <v>7417.1777290078799</v>
      </c>
      <c r="H13" s="42"/>
      <c r="I13" s="42" t="s">
        <v>46</v>
      </c>
      <c r="J13" s="42" t="s">
        <v>47</v>
      </c>
      <c r="K13" s="42" t="s">
        <v>48</v>
      </c>
      <c r="L13" s="42" t="s">
        <v>49</v>
      </c>
      <c r="M13" s="42" t="s">
        <v>50</v>
      </c>
    </row>
    <row r="14" spans="2:13" x14ac:dyDescent="0.2">
      <c r="B14" s="19">
        <v>6000</v>
      </c>
      <c r="C14">
        <v>2</v>
      </c>
      <c r="D14">
        <v>6000</v>
      </c>
      <c r="E14" s="37">
        <v>9196.476451298231</v>
      </c>
      <c r="F14">
        <f t="shared" si="0"/>
        <v>9302.1515788679644</v>
      </c>
      <c r="H14" s="40" t="s">
        <v>42</v>
      </c>
      <c r="I14" s="40">
        <v>3</v>
      </c>
      <c r="J14" s="40">
        <v>173461685.1535373</v>
      </c>
      <c r="K14" s="40">
        <v>57820561.717845768</v>
      </c>
      <c r="L14" s="40">
        <v>2537.154507397458</v>
      </c>
      <c r="M14" s="40">
        <v>4.1056867707457218E-38</v>
      </c>
    </row>
    <row r="15" spans="2:13" x14ac:dyDescent="0.2">
      <c r="B15" s="19">
        <v>8000</v>
      </c>
      <c r="C15">
        <v>2</v>
      </c>
      <c r="D15">
        <v>6000</v>
      </c>
      <c r="E15" s="37">
        <v>11038.465705256609</v>
      </c>
      <c r="F15">
        <f t="shared" si="0"/>
        <v>11187.125428728046</v>
      </c>
      <c r="H15" s="40" t="s">
        <v>43</v>
      </c>
      <c r="I15" s="40">
        <v>32</v>
      </c>
      <c r="J15" s="40">
        <v>729264.99729376251</v>
      </c>
      <c r="K15" s="40">
        <v>22789.531165430079</v>
      </c>
      <c r="L15" s="40"/>
      <c r="M15" s="40"/>
    </row>
    <row r="16" spans="2:13" ht="13.5" thickBot="1" x14ac:dyDescent="0.25">
      <c r="B16" s="19">
        <v>4000</v>
      </c>
      <c r="C16">
        <v>2</v>
      </c>
      <c r="D16">
        <v>8000</v>
      </c>
      <c r="E16" s="37">
        <v>9247.5174772410555</v>
      </c>
      <c r="F16">
        <f t="shared" si="0"/>
        <v>9313.2429091371778</v>
      </c>
      <c r="H16" s="41" t="s">
        <v>44</v>
      </c>
      <c r="I16" s="41">
        <v>35</v>
      </c>
      <c r="J16" s="41">
        <v>174190950.15083107</v>
      </c>
      <c r="K16" s="41"/>
      <c r="L16" s="41"/>
      <c r="M16" s="41"/>
    </row>
    <row r="17" spans="2:16" ht="13.5" thickBot="1" x14ac:dyDescent="0.25">
      <c r="B17" s="19">
        <v>6000</v>
      </c>
      <c r="C17">
        <v>2</v>
      </c>
      <c r="D17">
        <v>8000</v>
      </c>
      <c r="E17" s="37">
        <v>11066.197569119458</v>
      </c>
      <c r="F17">
        <f t="shared" si="0"/>
        <v>11198.216758997263</v>
      </c>
    </row>
    <row r="18" spans="2:16" x14ac:dyDescent="0.2">
      <c r="B18" s="19">
        <v>8000</v>
      </c>
      <c r="C18">
        <v>2</v>
      </c>
      <c r="D18">
        <v>8000</v>
      </c>
      <c r="E18" s="37">
        <v>12944.744882189356</v>
      </c>
      <c r="F18">
        <f t="shared" si="0"/>
        <v>13083.190608857345</v>
      </c>
      <c r="H18" s="42"/>
      <c r="I18" s="42" t="s">
        <v>51</v>
      </c>
      <c r="J18" s="42" t="s">
        <v>39</v>
      </c>
      <c r="K18" s="42" t="s">
        <v>52</v>
      </c>
      <c r="L18" s="42" t="s">
        <v>53</v>
      </c>
      <c r="M18" s="42" t="s">
        <v>54</v>
      </c>
      <c r="N18" s="42" t="s">
        <v>55</v>
      </c>
      <c r="O18" s="42" t="s">
        <v>56</v>
      </c>
      <c r="P18" s="42" t="s">
        <v>57</v>
      </c>
    </row>
    <row r="19" spans="2:16" x14ac:dyDescent="0.2">
      <c r="B19" s="19">
        <v>4000</v>
      </c>
      <c r="C19">
        <v>2</v>
      </c>
      <c r="D19">
        <v>10000</v>
      </c>
      <c r="E19" s="37">
        <v>11111.670774615912</v>
      </c>
      <c r="F19">
        <f t="shared" si="0"/>
        <v>11209.308089266477</v>
      </c>
      <c r="H19" s="40" t="s">
        <v>45</v>
      </c>
      <c r="I19" s="40">
        <v>-1918.8168510696514</v>
      </c>
      <c r="J19" s="40">
        <v>158.67602690182497</v>
      </c>
      <c r="K19" s="40">
        <v>-12.092670131303764</v>
      </c>
      <c r="L19" s="40">
        <v>1.7897501758887509E-13</v>
      </c>
      <c r="M19" s="40">
        <v>-2242.0293410737509</v>
      </c>
      <c r="N19" s="40">
        <v>-1595.6043610655522</v>
      </c>
      <c r="O19" s="40">
        <v>-2242.0293410737509</v>
      </c>
      <c r="P19" s="40">
        <v>-1595.6043610655522</v>
      </c>
    </row>
    <row r="20" spans="2:16" x14ac:dyDescent="0.2">
      <c r="B20" s="19">
        <v>6000</v>
      </c>
      <c r="C20">
        <v>2</v>
      </c>
      <c r="D20">
        <v>10000</v>
      </c>
      <c r="E20" s="37">
        <v>12962.28507734511</v>
      </c>
      <c r="F20">
        <f t="shared" si="0"/>
        <v>13094.281939126558</v>
      </c>
      <c r="H20" s="40" t="s">
        <v>58</v>
      </c>
      <c r="I20" s="40">
        <v>0.94248692493004194</v>
      </c>
      <c r="J20" s="40">
        <v>1.540749654031753E-2</v>
      </c>
      <c r="K20" s="40">
        <v>61.170672501129012</v>
      </c>
      <c r="L20" s="40">
        <v>1.0035892466645258E-34</v>
      </c>
      <c r="M20" s="40">
        <v>0.91110288148782304</v>
      </c>
      <c r="N20" s="40">
        <v>0.97387096837226084</v>
      </c>
      <c r="O20" s="40">
        <v>0.91110288148782304</v>
      </c>
      <c r="P20" s="40">
        <v>0.97387096837226084</v>
      </c>
    </row>
    <row r="21" spans="2:16" x14ac:dyDescent="0.2">
      <c r="B21" s="19">
        <v>8000</v>
      </c>
      <c r="C21">
        <v>2</v>
      </c>
      <c r="D21">
        <v>10000</v>
      </c>
      <c r="E21" s="37">
        <v>14865.38480411976</v>
      </c>
      <c r="F21">
        <f t="shared" si="0"/>
        <v>14979.255788986644</v>
      </c>
      <c r="H21" s="40" t="s">
        <v>59</v>
      </c>
      <c r="I21" s="40">
        <v>-61.074330015264309</v>
      </c>
      <c r="J21" s="40">
        <v>6.6798007428830397</v>
      </c>
      <c r="K21" s="40">
        <v>-9.14313650453356</v>
      </c>
      <c r="L21" s="40">
        <v>1.9357160024418176E-10</v>
      </c>
      <c r="M21" s="40">
        <v>-74.680638876112326</v>
      </c>
      <c r="N21" s="40">
        <v>-47.468021154416292</v>
      </c>
      <c r="O21" s="40">
        <v>-74.680638876112326</v>
      </c>
      <c r="P21" s="40">
        <v>-47.468021154416292</v>
      </c>
    </row>
    <row r="22" spans="2:16" ht="13.5" thickBot="1" x14ac:dyDescent="0.25">
      <c r="B22" s="19">
        <v>4000</v>
      </c>
      <c r="C22">
        <v>5</v>
      </c>
      <c r="D22">
        <v>6000</v>
      </c>
      <c r="E22" s="37">
        <v>7074.9911458217593</v>
      </c>
      <c r="F22">
        <f t="shared" si="0"/>
        <v>7233.9547389620866</v>
      </c>
      <c r="H22" s="41" t="s">
        <v>60</v>
      </c>
      <c r="I22" s="41">
        <v>0.94803259006464879</v>
      </c>
      <c r="J22" s="41">
        <v>1.5407496540317528E-2</v>
      </c>
      <c r="K22" s="41">
        <v>61.530605415609656</v>
      </c>
      <c r="L22" s="41">
        <v>8.3308493966300682E-35</v>
      </c>
      <c r="M22" s="41">
        <v>0.91664854662242989</v>
      </c>
      <c r="N22" s="41">
        <v>0.9794166335068677</v>
      </c>
      <c r="O22" s="41">
        <v>0.91664854662242989</v>
      </c>
      <c r="P22" s="41">
        <v>0.9794166335068677</v>
      </c>
    </row>
    <row r="23" spans="2:16" x14ac:dyDescent="0.2">
      <c r="B23" s="19">
        <v>6000</v>
      </c>
      <c r="C23">
        <v>5</v>
      </c>
      <c r="D23">
        <v>6000</v>
      </c>
      <c r="E23" s="37">
        <v>8949.3740306956588</v>
      </c>
      <c r="F23">
        <f t="shared" si="0"/>
        <v>9118.9285888221712</v>
      </c>
    </row>
    <row r="24" spans="2:16" x14ac:dyDescent="0.2">
      <c r="B24" s="19">
        <v>8000</v>
      </c>
      <c r="C24">
        <v>5</v>
      </c>
      <c r="D24">
        <v>6000</v>
      </c>
      <c r="E24" s="37">
        <v>10876.786626451338</v>
      </c>
      <c r="F24">
        <f t="shared" si="0"/>
        <v>11003.902438682257</v>
      </c>
    </row>
    <row r="25" spans="2:16" x14ac:dyDescent="0.2">
      <c r="B25" s="19">
        <v>4000</v>
      </c>
      <c r="C25">
        <v>5</v>
      </c>
      <c r="D25">
        <v>8000</v>
      </c>
      <c r="E25" s="37">
        <v>8964.608437558376</v>
      </c>
      <c r="F25">
        <f t="shared" si="0"/>
        <v>9130.0199190913845</v>
      </c>
      <c r="H25" t="s">
        <v>33</v>
      </c>
      <c r="I25" t="s">
        <v>16</v>
      </c>
      <c r="J25" t="s">
        <v>8</v>
      </c>
    </row>
    <row r="26" spans="2:16" x14ac:dyDescent="0.2">
      <c r="B26" s="19">
        <v>6000</v>
      </c>
      <c r="C26">
        <v>5</v>
      </c>
      <c r="D26">
        <v>8000</v>
      </c>
      <c r="E26" s="37">
        <v>10868.355666097223</v>
      </c>
      <c r="F26">
        <f t="shared" si="0"/>
        <v>11014.99376895147</v>
      </c>
      <c r="H26">
        <f t="array" ref="H26:K30">LINEST(E4:E39,B4:D39,TRUE,TRUE)</f>
        <v>0.94803259006464879</v>
      </c>
      <c r="I26">
        <v>-61.074330015264309</v>
      </c>
      <c r="J26">
        <v>0.94248692493004194</v>
      </c>
      <c r="K26">
        <v>-1918.8168510696514</v>
      </c>
    </row>
    <row r="27" spans="2:16" x14ac:dyDescent="0.2">
      <c r="B27" s="19">
        <v>8000</v>
      </c>
      <c r="C27">
        <v>5</v>
      </c>
      <c r="D27">
        <v>8000</v>
      </c>
      <c r="E27" s="37">
        <v>12816.985693384602</v>
      </c>
      <c r="F27">
        <f t="shared" si="0"/>
        <v>12899.967618811552</v>
      </c>
      <c r="H27">
        <v>1.5407496540317528E-2</v>
      </c>
      <c r="I27">
        <v>6.6798007428830397</v>
      </c>
      <c r="J27">
        <v>1.540749654031753E-2</v>
      </c>
      <c r="K27">
        <v>158.67602690182497</v>
      </c>
    </row>
    <row r="28" spans="2:16" x14ac:dyDescent="0.2">
      <c r="B28" s="19">
        <v>4000</v>
      </c>
      <c r="C28">
        <v>5</v>
      </c>
      <c r="D28">
        <v>10000</v>
      </c>
      <c r="E28" s="37">
        <v>10874.282939109096</v>
      </c>
      <c r="F28">
        <f t="shared" si="0"/>
        <v>11026.085099220683</v>
      </c>
      <c r="H28">
        <v>0.99581341627299058</v>
      </c>
      <c r="I28">
        <v>150.96201894990037</v>
      </c>
      <c r="J28" t="e">
        <v>#N/A</v>
      </c>
      <c r="K28" t="e">
        <v>#N/A</v>
      </c>
    </row>
    <row r="29" spans="2:16" x14ac:dyDescent="0.2">
      <c r="B29" s="19">
        <v>6000</v>
      </c>
      <c r="C29">
        <v>5</v>
      </c>
      <c r="D29">
        <v>10000</v>
      </c>
      <c r="E29" s="37">
        <v>12799.035179291932</v>
      </c>
      <c r="F29">
        <f t="shared" si="0"/>
        <v>12911.058949080769</v>
      </c>
      <c r="H29">
        <v>2537.154507397458</v>
      </c>
      <c r="I29">
        <v>32</v>
      </c>
      <c r="J29" t="e">
        <v>#N/A</v>
      </c>
      <c r="K29" t="e">
        <v>#N/A</v>
      </c>
    </row>
    <row r="30" spans="2:16" x14ac:dyDescent="0.2">
      <c r="B30" s="19">
        <v>8000</v>
      </c>
      <c r="C30">
        <v>5</v>
      </c>
      <c r="D30">
        <v>10000</v>
      </c>
      <c r="E30" s="37">
        <v>14767.381876246654</v>
      </c>
      <c r="F30">
        <f t="shared" si="0"/>
        <v>14796.032798940851</v>
      </c>
      <c r="H30">
        <v>173461685.1535373</v>
      </c>
      <c r="I30">
        <v>729264.99729376251</v>
      </c>
      <c r="J30" t="e">
        <v>#N/A</v>
      </c>
      <c r="K30" t="e">
        <v>#N/A</v>
      </c>
    </row>
    <row r="31" spans="2:16" x14ac:dyDescent="0.2">
      <c r="B31" s="19">
        <v>4000</v>
      </c>
      <c r="C31">
        <v>10</v>
      </c>
      <c r="D31">
        <v>6000</v>
      </c>
      <c r="E31" s="37">
        <v>6863.579527175254</v>
      </c>
      <c r="F31">
        <f t="shared" si="0"/>
        <v>6928.5830888857663</v>
      </c>
    </row>
    <row r="32" spans="2:16" x14ac:dyDescent="0.2">
      <c r="B32" s="19">
        <v>6000</v>
      </c>
      <c r="C32">
        <v>10</v>
      </c>
      <c r="D32">
        <v>6000</v>
      </c>
      <c r="E32" s="37">
        <v>8831.0754805049128</v>
      </c>
      <c r="F32">
        <f t="shared" si="0"/>
        <v>8813.556938745849</v>
      </c>
    </row>
    <row r="33" spans="2:9" x14ac:dyDescent="0.2">
      <c r="B33" s="19">
        <v>8000</v>
      </c>
      <c r="C33">
        <v>10</v>
      </c>
      <c r="D33">
        <v>6000</v>
      </c>
      <c r="E33" s="37">
        <v>10833.229304822451</v>
      </c>
      <c r="F33">
        <f t="shared" si="0"/>
        <v>10698.530788605935</v>
      </c>
      <c r="H33">
        <f>J26*Inddata!$C$7+I26*0+H26*Inddata!$C$9+K26</f>
        <v>2793.6177735805586</v>
      </c>
    </row>
    <row r="34" spans="2:9" x14ac:dyDescent="0.2">
      <c r="B34" s="19">
        <v>4000</v>
      </c>
      <c r="C34">
        <v>10</v>
      </c>
      <c r="D34">
        <v>8000</v>
      </c>
      <c r="E34" s="37">
        <v>8800.4013357814274</v>
      </c>
      <c r="F34">
        <f t="shared" si="0"/>
        <v>8824.6482690150624</v>
      </c>
      <c r="H34">
        <f>J26*Inddata!$C$7+I26*Inddata!$AA$13+H26*Inddata!$C$9+K26</f>
        <v>2793.6177735805586</v>
      </c>
    </row>
    <row r="35" spans="2:9" x14ac:dyDescent="0.2">
      <c r="B35" s="19">
        <v>6000</v>
      </c>
      <c r="C35">
        <v>10</v>
      </c>
      <c r="D35">
        <v>8000</v>
      </c>
      <c r="E35" s="37">
        <v>10786.678970849423</v>
      </c>
      <c r="F35">
        <f t="shared" si="0"/>
        <v>10709.622118875148</v>
      </c>
    </row>
    <row r="36" spans="2:9" x14ac:dyDescent="0.2">
      <c r="B36" s="19">
        <v>8000</v>
      </c>
      <c r="C36">
        <v>10</v>
      </c>
      <c r="D36">
        <v>8000</v>
      </c>
      <c r="E36" s="37">
        <v>12790.802056682471</v>
      </c>
      <c r="F36">
        <f t="shared" si="0"/>
        <v>12594.59596873523</v>
      </c>
    </row>
    <row r="37" spans="2:9" x14ac:dyDescent="0.2">
      <c r="B37" s="19">
        <v>4000</v>
      </c>
      <c r="C37">
        <v>10</v>
      </c>
      <c r="D37">
        <v>10000</v>
      </c>
      <c r="E37" s="37">
        <v>10744.695619190257</v>
      </c>
      <c r="F37">
        <f t="shared" si="0"/>
        <v>10720.713449144361</v>
      </c>
    </row>
    <row r="38" spans="2:9" x14ac:dyDescent="0.2">
      <c r="B38" s="19">
        <v>6000</v>
      </c>
      <c r="C38">
        <v>10</v>
      </c>
      <c r="D38">
        <v>10000</v>
      </c>
      <c r="E38" s="37">
        <v>12744.098761398345</v>
      </c>
      <c r="F38">
        <f t="shared" si="0"/>
        <v>12605.687299004447</v>
      </c>
    </row>
    <row r="39" spans="2:9" x14ac:dyDescent="0.2">
      <c r="B39" s="19">
        <v>8000</v>
      </c>
      <c r="C39">
        <v>10</v>
      </c>
      <c r="D39">
        <v>10000</v>
      </c>
      <c r="E39" s="37">
        <v>14749.738361303331</v>
      </c>
      <c r="F39">
        <f t="shared" si="0"/>
        <v>14490.661148864529</v>
      </c>
    </row>
    <row r="42" spans="2:9" x14ac:dyDescent="0.2">
      <c r="B42" s="46" t="s">
        <v>71</v>
      </c>
      <c r="C42" s="46"/>
    </row>
    <row r="43" spans="2:9" x14ac:dyDescent="0.2">
      <c r="B43" t="s">
        <v>8</v>
      </c>
      <c r="C43" t="s">
        <v>16</v>
      </c>
      <c r="D43" t="s">
        <v>33</v>
      </c>
      <c r="E43" t="s">
        <v>5</v>
      </c>
      <c r="F43" t="s">
        <v>63</v>
      </c>
      <c r="H43" t="s">
        <v>34</v>
      </c>
    </row>
    <row r="44" spans="2:9" ht="13.5" thickBot="1" x14ac:dyDescent="0.25">
      <c r="B44" s="19">
        <v>4000</v>
      </c>
      <c r="C44">
        <v>0</v>
      </c>
      <c r="D44">
        <v>6000</v>
      </c>
      <c r="E44" s="37">
        <v>7669.0852285043029</v>
      </c>
      <c r="F44">
        <f>$I$60*B44+$I$61*C44+$I$62*D44+$I$59</f>
        <v>7302.417986746017</v>
      </c>
    </row>
    <row r="45" spans="2:9" x14ac:dyDescent="0.2">
      <c r="B45" s="19">
        <v>6000</v>
      </c>
      <c r="C45">
        <v>0</v>
      </c>
      <c r="D45">
        <v>6000</v>
      </c>
      <c r="E45" s="37">
        <v>9308.6530118936043</v>
      </c>
      <c r="F45">
        <f t="shared" ref="F45:F79" si="1">$I$60*B45+$I$61*C45+$I$62*D45+$I$59</f>
        <v>9094.2938265321718</v>
      </c>
      <c r="H45" s="43" t="s">
        <v>35</v>
      </c>
      <c r="I45" s="43"/>
    </row>
    <row r="46" spans="2:9" x14ac:dyDescent="0.2">
      <c r="B46" s="19">
        <v>8000</v>
      </c>
      <c r="C46">
        <v>0</v>
      </c>
      <c r="D46">
        <v>6000</v>
      </c>
      <c r="E46" s="37">
        <v>11002.366217686964</v>
      </c>
      <c r="F46">
        <f t="shared" si="1"/>
        <v>10886.169666318325</v>
      </c>
      <c r="H46" s="40" t="s">
        <v>36</v>
      </c>
      <c r="I46" s="40">
        <v>0.99743189397853738</v>
      </c>
    </row>
    <row r="47" spans="2:9" x14ac:dyDescent="0.2">
      <c r="B47" s="19">
        <v>4000</v>
      </c>
      <c r="C47">
        <v>0</v>
      </c>
      <c r="D47">
        <v>8000</v>
      </c>
      <c r="E47" s="37">
        <v>9381.8661848040283</v>
      </c>
      <c r="F47">
        <f t="shared" si="1"/>
        <v>9136.1918076598231</v>
      </c>
      <c r="H47" s="40" t="s">
        <v>37</v>
      </c>
      <c r="I47" s="40">
        <v>0.99487038312561227</v>
      </c>
    </row>
    <row r="48" spans="2:9" x14ac:dyDescent="0.2">
      <c r="B48" s="19">
        <v>6000</v>
      </c>
      <c r="C48">
        <v>0</v>
      </c>
      <c r="D48">
        <v>8000</v>
      </c>
      <c r="E48" s="37">
        <v>11056.658166372918</v>
      </c>
      <c r="F48">
        <f t="shared" si="1"/>
        <v>10928.067647445976</v>
      </c>
      <c r="H48" s="40" t="s">
        <v>38</v>
      </c>
      <c r="I48" s="40">
        <v>0.99438948154363849</v>
      </c>
    </row>
    <row r="49" spans="2:16" x14ac:dyDescent="0.2">
      <c r="B49" s="19">
        <v>8000</v>
      </c>
      <c r="C49">
        <v>0</v>
      </c>
      <c r="D49">
        <v>8000</v>
      </c>
      <c r="E49" s="37">
        <v>12783.668262962996</v>
      </c>
      <c r="F49">
        <f t="shared" si="1"/>
        <v>12719.943487232131</v>
      </c>
      <c r="H49" s="40" t="s">
        <v>39</v>
      </c>
      <c r="I49" s="40">
        <v>162.6749418057781</v>
      </c>
    </row>
    <row r="50" spans="2:16" ht="13.5" thickBot="1" x14ac:dyDescent="0.25">
      <c r="B50" s="19">
        <v>4000</v>
      </c>
      <c r="C50">
        <v>0</v>
      </c>
      <c r="D50">
        <v>10000</v>
      </c>
      <c r="E50" s="37">
        <v>11128.165185997983</v>
      </c>
      <c r="F50">
        <f t="shared" si="1"/>
        <v>10969.965628573627</v>
      </c>
      <c r="H50" s="41" t="s">
        <v>40</v>
      </c>
      <c r="I50" s="41">
        <v>36</v>
      </c>
    </row>
    <row r="51" spans="2:16" x14ac:dyDescent="0.2">
      <c r="B51" s="19">
        <v>6000</v>
      </c>
      <c r="C51">
        <v>0</v>
      </c>
      <c r="D51">
        <v>10000</v>
      </c>
      <c r="E51" s="37">
        <v>12837.810857188495</v>
      </c>
      <c r="F51">
        <f t="shared" si="1"/>
        <v>12761.841468359782</v>
      </c>
    </row>
    <row r="52" spans="2:16" ht="13.5" thickBot="1" x14ac:dyDescent="0.25">
      <c r="B52" s="19">
        <v>8000</v>
      </c>
      <c r="C52">
        <v>0</v>
      </c>
      <c r="D52">
        <v>10000</v>
      </c>
      <c r="E52" s="37">
        <v>14596.981325602423</v>
      </c>
      <c r="F52">
        <f t="shared" si="1"/>
        <v>14553.717308145937</v>
      </c>
      <c r="H52" t="s">
        <v>41</v>
      </c>
    </row>
    <row r="53" spans="2:16" x14ac:dyDescent="0.2">
      <c r="B53" s="19">
        <v>4000</v>
      </c>
      <c r="C53">
        <v>2</v>
      </c>
      <c r="D53">
        <v>6000</v>
      </c>
      <c r="E53" s="37">
        <v>7108.3081360191582</v>
      </c>
      <c r="F53">
        <f t="shared" si="1"/>
        <v>7077.2712203625324</v>
      </c>
      <c r="H53" s="42"/>
      <c r="I53" s="42" t="s">
        <v>46</v>
      </c>
      <c r="J53" s="42" t="s">
        <v>47</v>
      </c>
      <c r="K53" s="42" t="s">
        <v>48</v>
      </c>
      <c r="L53" s="42" t="s">
        <v>49</v>
      </c>
      <c r="M53" s="42" t="s">
        <v>50</v>
      </c>
    </row>
    <row r="54" spans="2:16" x14ac:dyDescent="0.2">
      <c r="B54" s="19">
        <v>6000</v>
      </c>
      <c r="C54">
        <v>2</v>
      </c>
      <c r="D54">
        <v>6000</v>
      </c>
      <c r="E54" s="37">
        <v>8784.7703820972147</v>
      </c>
      <c r="F54">
        <f t="shared" si="1"/>
        <v>8869.1470601486872</v>
      </c>
      <c r="H54" s="40" t="s">
        <v>42</v>
      </c>
      <c r="I54" s="40">
        <v>3</v>
      </c>
      <c r="J54" s="40">
        <v>164237706.37807778</v>
      </c>
      <c r="K54" s="40">
        <v>54745902.126025923</v>
      </c>
      <c r="L54" s="40">
        <v>2068.7608866708115</v>
      </c>
      <c r="M54" s="40">
        <v>1.0587528795113746E-36</v>
      </c>
    </row>
    <row r="55" spans="2:16" x14ac:dyDescent="0.2">
      <c r="B55" s="19">
        <v>8000</v>
      </c>
      <c r="C55">
        <v>2</v>
      </c>
      <c r="D55">
        <v>6000</v>
      </c>
      <c r="E55" s="37">
        <v>10521.227667484354</v>
      </c>
      <c r="F55">
        <f t="shared" si="1"/>
        <v>10661.02289993484</v>
      </c>
      <c r="H55" s="40" t="s">
        <v>43</v>
      </c>
      <c r="I55" s="40">
        <v>32</v>
      </c>
      <c r="J55" s="40">
        <v>846820.37412842538</v>
      </c>
      <c r="K55" s="40">
        <v>26463.136691513293</v>
      </c>
      <c r="L55" s="40"/>
      <c r="M55" s="40"/>
    </row>
    <row r="56" spans="2:16" ht="13.5" thickBot="1" x14ac:dyDescent="0.25">
      <c r="B56" s="19">
        <v>4000</v>
      </c>
      <c r="C56">
        <v>2</v>
      </c>
      <c r="D56">
        <v>8000</v>
      </c>
      <c r="E56" s="37">
        <v>8851.3475742598948</v>
      </c>
      <c r="F56">
        <f t="shared" si="1"/>
        <v>8911.0450412763366</v>
      </c>
      <c r="H56" s="41" t="s">
        <v>44</v>
      </c>
      <c r="I56" s="41">
        <v>35</v>
      </c>
      <c r="J56" s="41">
        <v>165084526.75220621</v>
      </c>
      <c r="K56" s="41"/>
      <c r="L56" s="41"/>
      <c r="M56" s="41"/>
    </row>
    <row r="57" spans="2:16" ht="13.5" thickBot="1" x14ac:dyDescent="0.25">
      <c r="B57" s="19">
        <v>6000</v>
      </c>
      <c r="C57">
        <v>2</v>
      </c>
      <c r="D57">
        <v>8000</v>
      </c>
      <c r="E57" s="37">
        <v>10569.45924998076</v>
      </c>
      <c r="F57">
        <f t="shared" si="1"/>
        <v>10702.920881062491</v>
      </c>
    </row>
    <row r="58" spans="2:16" x14ac:dyDescent="0.2">
      <c r="B58" s="19">
        <v>8000</v>
      </c>
      <c r="C58">
        <v>2</v>
      </c>
      <c r="D58">
        <v>8000</v>
      </c>
      <c r="E58" s="37">
        <v>12342.878546685641</v>
      </c>
      <c r="F58">
        <f t="shared" si="1"/>
        <v>12494.796720848646</v>
      </c>
      <c r="H58" s="42"/>
      <c r="I58" s="42" t="s">
        <v>51</v>
      </c>
      <c r="J58" s="42" t="s">
        <v>39</v>
      </c>
      <c r="K58" s="42" t="s">
        <v>52</v>
      </c>
      <c r="L58" s="42" t="s">
        <v>53</v>
      </c>
      <c r="M58" s="42" t="s">
        <v>54</v>
      </c>
      <c r="N58" s="42" t="s">
        <v>55</v>
      </c>
      <c r="O58" s="42" t="s">
        <v>56</v>
      </c>
      <c r="P58" s="42" t="s">
        <v>57</v>
      </c>
    </row>
    <row r="59" spans="2:16" x14ac:dyDescent="0.2">
      <c r="B59" s="19">
        <v>4000</v>
      </c>
      <c r="C59">
        <v>2</v>
      </c>
      <c r="D59">
        <v>10000</v>
      </c>
      <c r="E59" s="37">
        <v>10634.934336206998</v>
      </c>
      <c r="F59">
        <f t="shared" si="1"/>
        <v>10744.818862190143</v>
      </c>
      <c r="H59" s="40" t="s">
        <v>45</v>
      </c>
      <c r="I59" s="40">
        <v>-1782.655155567707</v>
      </c>
      <c r="J59" s="40">
        <v>170.98746838297694</v>
      </c>
      <c r="K59" s="40">
        <v>-10.42564798710818</v>
      </c>
      <c r="L59" s="40">
        <v>8.096625728480803E-12</v>
      </c>
      <c r="M59" s="40">
        <v>-2130.9452312308226</v>
      </c>
      <c r="N59" s="40">
        <v>-1434.3650799045913</v>
      </c>
      <c r="O59" s="40">
        <v>-2130.9452312308226</v>
      </c>
      <c r="P59" s="40">
        <v>-1434.3650799045913</v>
      </c>
    </row>
    <row r="60" spans="2:16" x14ac:dyDescent="0.2">
      <c r="B60" s="19">
        <v>6000</v>
      </c>
      <c r="C60">
        <v>2</v>
      </c>
      <c r="D60">
        <v>10000</v>
      </c>
      <c r="E60" s="37">
        <v>12390.062750717771</v>
      </c>
      <c r="F60">
        <f t="shared" si="1"/>
        <v>12536.694701976297</v>
      </c>
      <c r="H60" s="40" t="s">
        <v>58</v>
      </c>
      <c r="I60" s="40">
        <v>0.89593791989307714</v>
      </c>
      <c r="J60" s="40">
        <v>1.6602941723379328E-2</v>
      </c>
      <c r="K60" s="40">
        <v>53.962601014943502</v>
      </c>
      <c r="L60" s="40">
        <v>5.3418219728923503E-33</v>
      </c>
      <c r="M60" s="40">
        <v>0.86211883429720082</v>
      </c>
      <c r="N60" s="40">
        <v>0.92975700548895346</v>
      </c>
      <c r="O60" s="40">
        <v>0.86211883429720082</v>
      </c>
      <c r="P60" s="40">
        <v>0.92975700548895346</v>
      </c>
    </row>
    <row r="61" spans="2:16" x14ac:dyDescent="0.2">
      <c r="B61" s="19">
        <v>8000</v>
      </c>
      <c r="C61">
        <v>2</v>
      </c>
      <c r="D61">
        <v>10000</v>
      </c>
      <c r="E61" s="37">
        <v>14197.961899387881</v>
      </c>
      <c r="F61">
        <f t="shared" si="1"/>
        <v>14328.570541762452</v>
      </c>
      <c r="H61" s="40" t="s">
        <v>59</v>
      </c>
      <c r="I61" s="40">
        <v>-112.57338319174255</v>
      </c>
      <c r="J61" s="40">
        <v>7.1980767393109177</v>
      </c>
      <c r="K61" s="40">
        <v>-15.639369691204399</v>
      </c>
      <c r="L61" s="40">
        <v>1.5276862564542604E-16</v>
      </c>
      <c r="M61" s="40">
        <v>-127.23538571082952</v>
      </c>
      <c r="N61" s="40">
        <v>-97.911380672655582</v>
      </c>
      <c r="O61" s="40">
        <v>-127.23538571082952</v>
      </c>
      <c r="P61" s="40">
        <v>-97.911380672655582</v>
      </c>
    </row>
    <row r="62" spans="2:16" ht="13.5" thickBot="1" x14ac:dyDescent="0.25">
      <c r="B62" s="19">
        <v>4000</v>
      </c>
      <c r="C62">
        <v>5</v>
      </c>
      <c r="D62">
        <v>6000</v>
      </c>
      <c r="E62" s="37">
        <v>6589.3961991124243</v>
      </c>
      <c r="F62">
        <f t="shared" si="1"/>
        <v>6739.5510707873036</v>
      </c>
      <c r="H62" s="41" t="s">
        <v>60</v>
      </c>
      <c r="I62" s="41">
        <v>0.91688691045690263</v>
      </c>
      <c r="J62" s="41">
        <v>1.6602941723379325E-2</v>
      </c>
      <c r="K62" s="41">
        <v>55.224364798305245</v>
      </c>
      <c r="L62" s="41">
        <v>2.5691566460508755E-33</v>
      </c>
      <c r="M62" s="41">
        <v>0.88306782486102642</v>
      </c>
      <c r="N62" s="41">
        <v>0.95070599605277883</v>
      </c>
      <c r="O62" s="41">
        <v>0.88306782486102642</v>
      </c>
      <c r="P62" s="41">
        <v>0.95070599605277883</v>
      </c>
    </row>
    <row r="63" spans="2:16" x14ac:dyDescent="0.2">
      <c r="B63" s="19">
        <v>6000</v>
      </c>
      <c r="C63">
        <v>5</v>
      </c>
      <c r="D63">
        <v>6000</v>
      </c>
      <c r="E63" s="37">
        <v>8341.7168768751926</v>
      </c>
      <c r="F63">
        <f t="shared" si="1"/>
        <v>8531.4269105734584</v>
      </c>
    </row>
    <row r="64" spans="2:16" x14ac:dyDescent="0.2">
      <c r="B64" s="19">
        <v>8000</v>
      </c>
      <c r="C64">
        <v>5</v>
      </c>
      <c r="D64">
        <v>6000</v>
      </c>
      <c r="E64" s="37">
        <v>10153.992414681974</v>
      </c>
      <c r="F64">
        <f t="shared" si="1"/>
        <v>10323.302750359613</v>
      </c>
    </row>
    <row r="65" spans="2:11" x14ac:dyDescent="0.2">
      <c r="B65" s="19">
        <v>4000</v>
      </c>
      <c r="C65">
        <v>5</v>
      </c>
      <c r="D65">
        <v>8000</v>
      </c>
      <c r="E65" s="37">
        <v>8394.8370560197345</v>
      </c>
      <c r="F65">
        <f t="shared" si="1"/>
        <v>8573.3248917011097</v>
      </c>
      <c r="H65" t="s">
        <v>33</v>
      </c>
      <c r="I65" t="s">
        <v>16</v>
      </c>
      <c r="J65" t="s">
        <v>8</v>
      </c>
    </row>
    <row r="66" spans="2:11" x14ac:dyDescent="0.2">
      <c r="B66" s="19">
        <v>6000</v>
      </c>
      <c r="C66">
        <v>5</v>
      </c>
      <c r="D66">
        <v>8000</v>
      </c>
      <c r="E66" s="37">
        <v>10188.338446671356</v>
      </c>
      <c r="F66">
        <f t="shared" si="1"/>
        <v>10365.200731487264</v>
      </c>
      <c r="H66">
        <f t="array" ref="H66:K70">LINEST(E44:E79,B44:D79,TRUE,TRUE)</f>
        <v>0.91688691045690263</v>
      </c>
      <c r="I66">
        <v>-112.57338319174255</v>
      </c>
      <c r="J66">
        <v>0.89593791989307714</v>
      </c>
      <c r="K66">
        <v>-1782.655155567707</v>
      </c>
    </row>
    <row r="67" spans="2:11" x14ac:dyDescent="0.2">
      <c r="B67" s="19">
        <v>8000</v>
      </c>
      <c r="C67">
        <v>5</v>
      </c>
      <c r="D67">
        <v>8000</v>
      </c>
      <c r="E67" s="37">
        <v>12034.40018189209</v>
      </c>
      <c r="F67">
        <f t="shared" si="1"/>
        <v>12157.076571273417</v>
      </c>
      <c r="H67">
        <v>1.6602941723379325E-2</v>
      </c>
      <c r="I67">
        <v>7.1980767393109177</v>
      </c>
      <c r="J67">
        <v>1.6602941723379328E-2</v>
      </c>
      <c r="K67">
        <v>170.98746838297694</v>
      </c>
    </row>
    <row r="68" spans="2:11" x14ac:dyDescent="0.2">
      <c r="B68" s="19">
        <v>4000</v>
      </c>
      <c r="C68">
        <v>5</v>
      </c>
      <c r="D68">
        <v>10000</v>
      </c>
      <c r="E68" s="37">
        <v>10240.307973644683</v>
      </c>
      <c r="F68">
        <f t="shared" si="1"/>
        <v>10407.098712614916</v>
      </c>
      <c r="H68">
        <v>0.99487038312561227</v>
      </c>
      <c r="I68">
        <v>162.6749418057781</v>
      </c>
      <c r="J68" t="e">
        <v>#N/A</v>
      </c>
      <c r="K68" t="e">
        <v>#N/A</v>
      </c>
    </row>
    <row r="69" spans="2:11" x14ac:dyDescent="0.2">
      <c r="B69" s="19">
        <v>6000</v>
      </c>
      <c r="C69">
        <v>5</v>
      </c>
      <c r="D69">
        <v>10000</v>
      </c>
      <c r="E69" s="37">
        <v>12063.230797133045</v>
      </c>
      <c r="F69">
        <f t="shared" si="1"/>
        <v>12198.974552401069</v>
      </c>
      <c r="H69">
        <v>2068.7608866708115</v>
      </c>
      <c r="I69">
        <v>32</v>
      </c>
      <c r="J69" t="e">
        <v>#N/A</v>
      </c>
      <c r="K69" t="e">
        <v>#N/A</v>
      </c>
    </row>
    <row r="70" spans="2:11" x14ac:dyDescent="0.2">
      <c r="B70" s="19">
        <v>8000</v>
      </c>
      <c r="C70">
        <v>5</v>
      </c>
      <c r="D70">
        <v>10000</v>
      </c>
      <c r="E70" s="37">
        <v>13935.835228111393</v>
      </c>
      <c r="F70">
        <f t="shared" si="1"/>
        <v>13990.850392187225</v>
      </c>
      <c r="H70">
        <v>164237706.37807778</v>
      </c>
      <c r="I70">
        <v>846820.37412842538</v>
      </c>
      <c r="J70" t="e">
        <v>#N/A</v>
      </c>
      <c r="K70" t="e">
        <v>#N/A</v>
      </c>
    </row>
    <row r="71" spans="2:11" x14ac:dyDescent="0.2">
      <c r="B71" s="19">
        <v>4000</v>
      </c>
      <c r="C71">
        <v>10</v>
      </c>
      <c r="D71">
        <v>6000</v>
      </c>
      <c r="E71" s="37">
        <v>6134.3338450291549</v>
      </c>
      <c r="F71">
        <f t="shared" si="1"/>
        <v>6176.684154828592</v>
      </c>
    </row>
    <row r="72" spans="2:11" x14ac:dyDescent="0.2">
      <c r="B72" s="19">
        <v>6000</v>
      </c>
      <c r="C72">
        <v>10</v>
      </c>
      <c r="D72">
        <v>6000</v>
      </c>
      <c r="E72" s="37">
        <v>7955.8612482994777</v>
      </c>
      <c r="F72">
        <f t="shared" si="1"/>
        <v>7968.5599946147449</v>
      </c>
    </row>
    <row r="73" spans="2:11" x14ac:dyDescent="0.2">
      <c r="B73" s="19">
        <v>8000</v>
      </c>
      <c r="C73">
        <v>10</v>
      </c>
      <c r="D73">
        <v>6000</v>
      </c>
      <c r="E73" s="37">
        <v>9878.9899811855303</v>
      </c>
      <c r="F73">
        <f t="shared" si="1"/>
        <v>9760.4358344009015</v>
      </c>
      <c r="H73">
        <f>J66*Inddata!$C$7+I66*0+H66*Inddata!$C$9+K66</f>
        <v>2697.034443897679</v>
      </c>
    </row>
    <row r="74" spans="2:11" x14ac:dyDescent="0.2">
      <c r="B74" s="19">
        <v>4000</v>
      </c>
      <c r="C74">
        <v>10</v>
      </c>
      <c r="D74">
        <v>8000</v>
      </c>
      <c r="E74" s="37">
        <v>7993.2652513671119</v>
      </c>
      <c r="F74">
        <f t="shared" si="1"/>
        <v>8010.4579757423962</v>
      </c>
      <c r="H74">
        <f>J66*Inddata!$C$7+I66*Inddata!$AA$13+H66*Inddata!$C$9+K66</f>
        <v>2697.034443897679</v>
      </c>
    </row>
    <row r="75" spans="2:11" x14ac:dyDescent="0.2">
      <c r="B75" s="19">
        <v>6000</v>
      </c>
      <c r="C75">
        <v>10</v>
      </c>
      <c r="D75">
        <v>8000</v>
      </c>
      <c r="E75" s="37">
        <v>9870.0425111455643</v>
      </c>
      <c r="F75">
        <f t="shared" si="1"/>
        <v>9802.333815528551</v>
      </c>
    </row>
    <row r="76" spans="2:11" x14ac:dyDescent="0.2">
      <c r="B76" s="19">
        <v>8000</v>
      </c>
      <c r="C76">
        <v>10</v>
      </c>
      <c r="D76">
        <v>8000</v>
      </c>
      <c r="E76" s="37">
        <v>11811.972127886396</v>
      </c>
      <c r="F76">
        <f t="shared" si="1"/>
        <v>11594.209655314706</v>
      </c>
    </row>
    <row r="77" spans="2:11" x14ac:dyDescent="0.2">
      <c r="B77" s="19">
        <v>4000</v>
      </c>
      <c r="C77">
        <v>10</v>
      </c>
      <c r="D77">
        <v>10000</v>
      </c>
      <c r="E77" s="37">
        <v>9883.8759380000392</v>
      </c>
      <c r="F77">
        <f t="shared" si="1"/>
        <v>9844.2317966562023</v>
      </c>
    </row>
    <row r="78" spans="2:11" x14ac:dyDescent="0.2">
      <c r="B78" s="19">
        <v>6000</v>
      </c>
      <c r="C78">
        <v>10</v>
      </c>
      <c r="D78">
        <v>10000</v>
      </c>
      <c r="E78" s="37">
        <v>11795.637408544408</v>
      </c>
      <c r="F78">
        <f t="shared" si="1"/>
        <v>11636.107636442357</v>
      </c>
    </row>
    <row r="79" spans="2:11" x14ac:dyDescent="0.2">
      <c r="B79" s="19">
        <v>8000</v>
      </c>
      <c r="C79">
        <v>10</v>
      </c>
      <c r="D79">
        <v>10000</v>
      </c>
      <c r="E79" s="37">
        <v>13754.469210265555</v>
      </c>
      <c r="F79">
        <f t="shared" si="1"/>
        <v>13427.983476228512</v>
      </c>
    </row>
    <row r="82" spans="2:13" x14ac:dyDescent="0.2">
      <c r="B82" s="46" t="s">
        <v>72</v>
      </c>
      <c r="C82" s="46"/>
    </row>
    <row r="83" spans="2:13" x14ac:dyDescent="0.2">
      <c r="B83" t="s">
        <v>8</v>
      </c>
      <c r="C83" t="s">
        <v>16</v>
      </c>
      <c r="D83" t="s">
        <v>33</v>
      </c>
      <c r="E83" t="s">
        <v>5</v>
      </c>
      <c r="F83" t="s">
        <v>63</v>
      </c>
      <c r="H83" t="s">
        <v>34</v>
      </c>
    </row>
    <row r="84" spans="2:13" ht="13.5" thickBot="1" x14ac:dyDescent="0.25">
      <c r="B84" s="19">
        <v>4000</v>
      </c>
      <c r="C84">
        <v>0</v>
      </c>
      <c r="D84">
        <v>6000</v>
      </c>
      <c r="E84" s="37">
        <v>7357.9431348448097</v>
      </c>
      <c r="F84">
        <f>$I$100*B84+$I$101*C84+$I$102*D84+$I$99</f>
        <v>7107.0458926914844</v>
      </c>
    </row>
    <row r="85" spans="2:13" x14ac:dyDescent="0.2">
      <c r="B85" s="19">
        <v>6000</v>
      </c>
      <c r="C85">
        <v>0</v>
      </c>
      <c r="D85">
        <v>6000</v>
      </c>
      <c r="E85" s="37">
        <v>8916.9130656728448</v>
      </c>
      <c r="F85">
        <f t="shared" ref="F85:F119" si="2">$I$100*B85+$I$101*C85+$I$102*D85+$I$99</f>
        <v>8757.7126092066646</v>
      </c>
      <c r="H85" s="43" t="s">
        <v>35</v>
      </c>
      <c r="I85" s="43"/>
    </row>
    <row r="86" spans="2:13" x14ac:dyDescent="0.2">
      <c r="B86" s="19">
        <v>8000</v>
      </c>
      <c r="C86">
        <v>0</v>
      </c>
      <c r="D86">
        <v>6000</v>
      </c>
      <c r="E86" s="37">
        <v>10519.901779958274</v>
      </c>
      <c r="F86">
        <f t="shared" si="2"/>
        <v>10408.379325721849</v>
      </c>
      <c r="H86" s="40" t="s">
        <v>36</v>
      </c>
      <c r="I86" s="40">
        <v>0.99831760103809641</v>
      </c>
    </row>
    <row r="87" spans="2:13" x14ac:dyDescent="0.2">
      <c r="B87" s="19">
        <v>4000</v>
      </c>
      <c r="C87">
        <v>0</v>
      </c>
      <c r="D87">
        <v>8000</v>
      </c>
      <c r="E87" s="37">
        <v>9000.0194114342812</v>
      </c>
      <c r="F87">
        <f t="shared" si="2"/>
        <v>8831.9180245986099</v>
      </c>
      <c r="H87" s="40" t="s">
        <v>37</v>
      </c>
      <c r="I87" s="40">
        <v>0.99663803254245986</v>
      </c>
    </row>
    <row r="88" spans="2:13" x14ac:dyDescent="0.2">
      <c r="B88" s="19">
        <v>6000</v>
      </c>
      <c r="C88">
        <v>0</v>
      </c>
      <c r="D88">
        <v>8000</v>
      </c>
      <c r="E88" s="37">
        <v>10588.382230329085</v>
      </c>
      <c r="F88">
        <f t="shared" si="2"/>
        <v>10482.584741113791</v>
      </c>
      <c r="H88" s="40" t="s">
        <v>38</v>
      </c>
      <c r="I88" s="40">
        <v>0.99632284809331551</v>
      </c>
    </row>
    <row r="89" spans="2:13" x14ac:dyDescent="0.2">
      <c r="B89" s="19">
        <v>8000</v>
      </c>
      <c r="C89">
        <v>0</v>
      </c>
      <c r="D89">
        <v>8000</v>
      </c>
      <c r="E89" s="37">
        <v>12218.736423819937</v>
      </c>
      <c r="F89">
        <f t="shared" si="2"/>
        <v>12133.251457628972</v>
      </c>
      <c r="H89" s="40" t="s">
        <v>39</v>
      </c>
      <c r="I89" s="40">
        <v>127.54718671561584</v>
      </c>
    </row>
    <row r="90" spans="2:13" ht="13.5" thickBot="1" x14ac:dyDescent="0.25">
      <c r="B90" s="19">
        <v>4000</v>
      </c>
      <c r="C90">
        <v>0</v>
      </c>
      <c r="D90">
        <v>10000</v>
      </c>
      <c r="E90" s="37">
        <v>10670.081532698872</v>
      </c>
      <c r="F90">
        <f t="shared" si="2"/>
        <v>10556.790156505733</v>
      </c>
      <c r="H90" s="41" t="s">
        <v>40</v>
      </c>
      <c r="I90" s="41">
        <v>36</v>
      </c>
    </row>
    <row r="91" spans="2:13" x14ac:dyDescent="0.2">
      <c r="B91" s="19">
        <v>6000</v>
      </c>
      <c r="C91">
        <v>0</v>
      </c>
      <c r="D91">
        <v>10000</v>
      </c>
      <c r="E91" s="37">
        <v>12285.891006395766</v>
      </c>
      <c r="F91">
        <f t="shared" si="2"/>
        <v>12207.456873020914</v>
      </c>
    </row>
    <row r="92" spans="2:13" ht="13.5" thickBot="1" x14ac:dyDescent="0.25">
      <c r="B92" s="19">
        <v>8000</v>
      </c>
      <c r="C92">
        <v>0</v>
      </c>
      <c r="D92">
        <v>10000</v>
      </c>
      <c r="E92" s="37">
        <v>13940.963089455068</v>
      </c>
      <c r="F92">
        <f t="shared" si="2"/>
        <v>13858.123589536095</v>
      </c>
      <c r="H92" t="s">
        <v>41</v>
      </c>
    </row>
    <row r="93" spans="2:13" x14ac:dyDescent="0.2">
      <c r="B93" s="19">
        <v>4000</v>
      </c>
      <c r="C93">
        <v>2</v>
      </c>
      <c r="D93">
        <v>6000</v>
      </c>
      <c r="E93" s="37">
        <v>6746.5901070513801</v>
      </c>
      <c r="F93">
        <f t="shared" si="2"/>
        <v>6736.5472852161411</v>
      </c>
      <c r="H93" s="42"/>
      <c r="I93" s="42" t="s">
        <v>46</v>
      </c>
      <c r="J93" s="42" t="s">
        <v>47</v>
      </c>
      <c r="K93" s="42" t="s">
        <v>48</v>
      </c>
      <c r="L93" s="42" t="s">
        <v>49</v>
      </c>
      <c r="M93" s="42" t="s">
        <v>50</v>
      </c>
    </row>
    <row r="94" spans="2:13" x14ac:dyDescent="0.2">
      <c r="B94" s="19">
        <v>6000</v>
      </c>
      <c r="C94">
        <v>2</v>
      </c>
      <c r="D94">
        <v>6000</v>
      </c>
      <c r="E94" s="37">
        <v>8327.8382486998307</v>
      </c>
      <c r="F94">
        <f t="shared" si="2"/>
        <v>8387.2140017313213</v>
      </c>
      <c r="H94" s="40" t="s">
        <v>42</v>
      </c>
      <c r="I94" s="40">
        <v>3</v>
      </c>
      <c r="J94" s="40">
        <v>154324790.82198054</v>
      </c>
      <c r="K94" s="40">
        <v>51441596.940660179</v>
      </c>
      <c r="L94" s="40">
        <v>3162.0786978799115</v>
      </c>
      <c r="M94" s="40">
        <v>1.2282719497199197E-39</v>
      </c>
    </row>
    <row r="95" spans="2:13" x14ac:dyDescent="0.2">
      <c r="B95" s="19">
        <v>8000</v>
      </c>
      <c r="C95">
        <v>2</v>
      </c>
      <c r="D95">
        <v>6000</v>
      </c>
      <c r="E95" s="37">
        <v>9946.9169968638998</v>
      </c>
      <c r="F95">
        <f t="shared" si="2"/>
        <v>10037.880718246506</v>
      </c>
      <c r="H95" s="40" t="s">
        <v>43</v>
      </c>
      <c r="I95" s="40">
        <v>32</v>
      </c>
      <c r="J95" s="40">
        <v>520585.11485018139</v>
      </c>
      <c r="K95" s="40">
        <v>16268.284839068168</v>
      </c>
      <c r="L95" s="40"/>
      <c r="M95" s="40"/>
    </row>
    <row r="96" spans="2:13" ht="13.5" thickBot="1" x14ac:dyDescent="0.25">
      <c r="B96" s="19">
        <v>4000</v>
      </c>
      <c r="C96">
        <v>2</v>
      </c>
      <c r="D96">
        <v>8000</v>
      </c>
      <c r="E96" s="37">
        <v>8404.2168120554725</v>
      </c>
      <c r="F96">
        <f t="shared" si="2"/>
        <v>8461.4194171232666</v>
      </c>
      <c r="H96" s="41" t="s">
        <v>44</v>
      </c>
      <c r="I96" s="41">
        <v>35</v>
      </c>
      <c r="J96" s="41">
        <v>154845375.93683073</v>
      </c>
      <c r="K96" s="41"/>
      <c r="L96" s="41"/>
      <c r="M96" s="41"/>
    </row>
    <row r="97" spans="2:16" ht="13.5" thickBot="1" x14ac:dyDescent="0.25">
      <c r="B97" s="19">
        <v>6000</v>
      </c>
      <c r="C97">
        <v>2</v>
      </c>
      <c r="D97">
        <v>8000</v>
      </c>
      <c r="E97" s="37">
        <v>10011.591626531421</v>
      </c>
      <c r="F97">
        <f t="shared" si="2"/>
        <v>10112.086133638448</v>
      </c>
    </row>
    <row r="98" spans="2:16" x14ac:dyDescent="0.2">
      <c r="B98" s="19">
        <v>8000</v>
      </c>
      <c r="C98">
        <v>2</v>
      </c>
      <c r="D98">
        <v>8000</v>
      </c>
      <c r="E98" s="37">
        <v>11655.48311433414</v>
      </c>
      <c r="F98">
        <f t="shared" si="2"/>
        <v>11762.752850153629</v>
      </c>
      <c r="H98" s="42"/>
      <c r="I98" s="42" t="s">
        <v>51</v>
      </c>
      <c r="J98" s="42" t="s">
        <v>39</v>
      </c>
      <c r="K98" s="42" t="s">
        <v>52</v>
      </c>
      <c r="L98" s="42" t="s">
        <v>53</v>
      </c>
      <c r="M98" s="42" t="s">
        <v>54</v>
      </c>
      <c r="N98" s="42" t="s">
        <v>55</v>
      </c>
      <c r="O98" s="42" t="s">
        <v>56</v>
      </c>
      <c r="P98" s="42" t="s">
        <v>57</v>
      </c>
    </row>
    <row r="99" spans="2:16" x14ac:dyDescent="0.2">
      <c r="B99" s="19">
        <v>4000</v>
      </c>
      <c r="C99">
        <v>2</v>
      </c>
      <c r="D99">
        <v>10000</v>
      </c>
      <c r="E99" s="37">
        <v>10087.630671889528</v>
      </c>
      <c r="F99">
        <f t="shared" si="2"/>
        <v>10186.291549030389</v>
      </c>
      <c r="H99" s="40" t="s">
        <v>45</v>
      </c>
      <c r="I99" s="40">
        <v>-1368.9039360602501</v>
      </c>
      <c r="J99" s="40">
        <v>134.06472019465866</v>
      </c>
      <c r="K99" s="40">
        <v>-10.210769351344899</v>
      </c>
      <c r="L99" s="40">
        <v>1.3576014545599703E-11</v>
      </c>
      <c r="M99" s="40">
        <v>-1641.984834806399</v>
      </c>
      <c r="N99" s="40">
        <v>-1095.8230373141012</v>
      </c>
      <c r="O99" s="40">
        <v>-1641.984834806399</v>
      </c>
      <c r="P99" s="40">
        <v>-1095.8230373141012</v>
      </c>
    </row>
    <row r="100" spans="2:16" x14ac:dyDescent="0.2">
      <c r="B100" s="19">
        <v>6000</v>
      </c>
      <c r="C100">
        <v>2</v>
      </c>
      <c r="D100">
        <v>10000</v>
      </c>
      <c r="E100" s="37">
        <v>11721.637817853245</v>
      </c>
      <c r="F100">
        <f t="shared" si="2"/>
        <v>11836.958265545571</v>
      </c>
      <c r="H100" s="40" t="s">
        <v>58</v>
      </c>
      <c r="I100" s="40">
        <v>0.82533335825759091</v>
      </c>
      <c r="J100" s="40">
        <v>1.3017730232531326E-2</v>
      </c>
      <c r="K100" s="40">
        <v>63.400711453912429</v>
      </c>
      <c r="L100" s="40">
        <v>3.2201896063777698E-35</v>
      </c>
      <c r="M100" s="40">
        <v>0.79881710949077922</v>
      </c>
      <c r="N100" s="40">
        <v>0.8518496070244026</v>
      </c>
      <c r="O100" s="40">
        <v>0.79881710949077922</v>
      </c>
      <c r="P100" s="40">
        <v>0.8518496070244026</v>
      </c>
    </row>
    <row r="101" spans="2:16" x14ac:dyDescent="0.2">
      <c r="B101" s="19">
        <v>8000</v>
      </c>
      <c r="C101">
        <v>2</v>
      </c>
      <c r="D101">
        <v>10000</v>
      </c>
      <c r="E101" s="37">
        <v>13394.43121219768</v>
      </c>
      <c r="F101">
        <f t="shared" si="2"/>
        <v>13487.624982060752</v>
      </c>
      <c r="H101" s="40" t="s">
        <v>59</v>
      </c>
      <c r="I101" s="40">
        <v>-185.2493037376716</v>
      </c>
      <c r="J101" s="40">
        <v>5.6437360768099003</v>
      </c>
      <c r="K101" s="40">
        <v>-32.823877873889352</v>
      </c>
      <c r="L101" s="40">
        <v>3.2575802650651634E-26</v>
      </c>
      <c r="M101" s="40">
        <v>-196.74521793421439</v>
      </c>
      <c r="N101" s="40">
        <v>-173.7533895411288</v>
      </c>
      <c r="O101" s="40">
        <v>-196.74521793421439</v>
      </c>
      <c r="P101" s="40">
        <v>-173.7533895411288</v>
      </c>
    </row>
    <row r="102" spans="2:16" ht="13.5" thickBot="1" x14ac:dyDescent="0.25">
      <c r="B102" s="19">
        <v>4000</v>
      </c>
      <c r="C102">
        <v>5</v>
      </c>
      <c r="D102">
        <v>6000</v>
      </c>
      <c r="E102" s="37">
        <v>6067.3170244793037</v>
      </c>
      <c r="F102">
        <f t="shared" si="2"/>
        <v>6180.799374003127</v>
      </c>
      <c r="H102" s="41" t="s">
        <v>60</v>
      </c>
      <c r="I102" s="41">
        <v>0.86243606595356193</v>
      </c>
      <c r="J102" s="41">
        <v>1.3017730232531324E-2</v>
      </c>
      <c r="K102" s="41">
        <v>66.250878651512778</v>
      </c>
      <c r="L102" s="41">
        <v>7.9661269078852212E-36</v>
      </c>
      <c r="M102" s="41">
        <v>0.83591981718675024</v>
      </c>
      <c r="N102" s="41">
        <v>0.88895231472037362</v>
      </c>
      <c r="O102" s="41">
        <v>0.83591981718675024</v>
      </c>
      <c r="P102" s="41">
        <v>0.88895231472037362</v>
      </c>
    </row>
    <row r="103" spans="2:16" x14ac:dyDescent="0.2">
      <c r="B103" s="19">
        <v>6000</v>
      </c>
      <c r="C103">
        <v>5</v>
      </c>
      <c r="D103">
        <v>6000</v>
      </c>
      <c r="E103" s="37">
        <v>7684.7115373561892</v>
      </c>
      <c r="F103">
        <f t="shared" si="2"/>
        <v>7831.4660905183091</v>
      </c>
    </row>
    <row r="104" spans="2:16" x14ac:dyDescent="0.2">
      <c r="B104" s="19">
        <v>8000</v>
      </c>
      <c r="C104">
        <v>5</v>
      </c>
      <c r="D104">
        <v>6000</v>
      </c>
      <c r="E104" s="37">
        <v>9337.6575655856141</v>
      </c>
      <c r="F104">
        <f t="shared" si="2"/>
        <v>9482.1328070334894</v>
      </c>
    </row>
    <row r="105" spans="2:16" x14ac:dyDescent="0.2">
      <c r="B105" s="19">
        <v>4000</v>
      </c>
      <c r="C105">
        <v>5</v>
      </c>
      <c r="D105">
        <v>8000</v>
      </c>
      <c r="E105" s="37">
        <v>7757.7364801074064</v>
      </c>
      <c r="F105">
        <f t="shared" si="2"/>
        <v>7905.6715059102507</v>
      </c>
      <c r="H105" t="s">
        <v>33</v>
      </c>
      <c r="I105" t="s">
        <v>16</v>
      </c>
      <c r="J105" t="s">
        <v>8</v>
      </c>
    </row>
    <row r="106" spans="2:16" x14ac:dyDescent="0.2">
      <c r="B106" s="19">
        <v>6000</v>
      </c>
      <c r="C106">
        <v>5</v>
      </c>
      <c r="D106">
        <v>8000</v>
      </c>
      <c r="E106" s="37">
        <v>9401.6203451127385</v>
      </c>
      <c r="F106">
        <f t="shared" si="2"/>
        <v>9556.338222425431</v>
      </c>
      <c r="H106">
        <f t="array" ref="H106:K110">LINEST(E84:E119,B84:D119,TRUE,TRUE)</f>
        <v>0.86243606595356193</v>
      </c>
      <c r="I106">
        <v>-185.2493037376716</v>
      </c>
      <c r="J106">
        <v>0.82533335825759091</v>
      </c>
      <c r="K106">
        <v>-1368.9039360602501</v>
      </c>
    </row>
    <row r="107" spans="2:16" x14ac:dyDescent="0.2">
      <c r="B107" s="19">
        <v>8000</v>
      </c>
      <c r="C107">
        <v>5</v>
      </c>
      <c r="D107">
        <v>8000</v>
      </c>
      <c r="E107" s="37">
        <v>11089.142890085408</v>
      </c>
      <c r="F107">
        <f t="shared" si="2"/>
        <v>11207.004938940616</v>
      </c>
      <c r="H107">
        <v>1.3017730232531324E-2</v>
      </c>
      <c r="I107">
        <v>5.6437360768099003</v>
      </c>
      <c r="J107">
        <v>1.3017730232531326E-2</v>
      </c>
      <c r="K107">
        <v>134.06472019465866</v>
      </c>
    </row>
    <row r="108" spans="2:16" x14ac:dyDescent="0.2">
      <c r="B108" s="19">
        <v>4000</v>
      </c>
      <c r="C108">
        <v>5</v>
      </c>
      <c r="D108">
        <v>10000</v>
      </c>
      <c r="E108" s="37">
        <v>9475.9891116392155</v>
      </c>
      <c r="F108">
        <f t="shared" si="2"/>
        <v>9630.5436378173763</v>
      </c>
      <c r="H108">
        <v>0.99663803254245986</v>
      </c>
      <c r="I108">
        <v>127.54718671561584</v>
      </c>
      <c r="J108" t="e">
        <v>#N/A</v>
      </c>
      <c r="K108" t="e">
        <v>#N/A</v>
      </c>
    </row>
    <row r="109" spans="2:16" x14ac:dyDescent="0.2">
      <c r="B109" s="19">
        <v>6000</v>
      </c>
      <c r="C109">
        <v>5</v>
      </c>
      <c r="D109">
        <v>10000</v>
      </c>
      <c r="E109" s="37">
        <v>11152.349392804945</v>
      </c>
      <c r="F109">
        <f t="shared" si="2"/>
        <v>11281.210354332557</v>
      </c>
      <c r="H109">
        <v>3162.0786978799115</v>
      </c>
      <c r="I109">
        <v>32</v>
      </c>
      <c r="J109" t="e">
        <v>#N/A</v>
      </c>
      <c r="K109" t="e">
        <v>#N/A</v>
      </c>
    </row>
    <row r="110" spans="2:16" x14ac:dyDescent="0.2">
      <c r="B110" s="19">
        <v>8000</v>
      </c>
      <c r="C110">
        <v>5</v>
      </c>
      <c r="D110">
        <v>10000</v>
      </c>
      <c r="E110" s="37">
        <v>12869.283397919422</v>
      </c>
      <c r="F110">
        <f t="shared" si="2"/>
        <v>12931.877070847739</v>
      </c>
      <c r="H110">
        <v>154324790.82198054</v>
      </c>
      <c r="I110">
        <v>520585.11485018139</v>
      </c>
      <c r="J110" t="e">
        <v>#N/A</v>
      </c>
      <c r="K110" t="e">
        <v>#N/A</v>
      </c>
    </row>
    <row r="111" spans="2:16" x14ac:dyDescent="0.2">
      <c r="B111" s="19">
        <v>4000</v>
      </c>
      <c r="C111">
        <v>10</v>
      </c>
      <c r="D111">
        <v>6000</v>
      </c>
      <c r="E111" s="37">
        <v>5319.1875756039444</v>
      </c>
      <c r="F111">
        <f t="shared" si="2"/>
        <v>5254.5528553147687</v>
      </c>
    </row>
    <row r="112" spans="2:16" x14ac:dyDescent="0.2">
      <c r="B112" s="19">
        <v>6000</v>
      </c>
      <c r="C112">
        <v>10</v>
      </c>
      <c r="D112">
        <v>6000</v>
      </c>
      <c r="E112" s="37">
        <v>6870.7445236769117</v>
      </c>
      <c r="F112">
        <f t="shared" si="2"/>
        <v>6905.2195718299508</v>
      </c>
    </row>
    <row r="113" spans="2:8" x14ac:dyDescent="0.2">
      <c r="B113" s="19">
        <v>8000</v>
      </c>
      <c r="C113">
        <v>10</v>
      </c>
      <c r="D113">
        <v>6000</v>
      </c>
      <c r="E113" s="37">
        <v>8607.9178107483858</v>
      </c>
      <c r="F113">
        <f t="shared" si="2"/>
        <v>8555.8862883451329</v>
      </c>
      <c r="H113">
        <f>J106*Inddata!$C$7+I106*0+H106*Inddata!$C$9+K106</f>
        <v>2757.7628552277047</v>
      </c>
    </row>
    <row r="114" spans="2:8" x14ac:dyDescent="0.2">
      <c r="B114" s="19">
        <v>4000</v>
      </c>
      <c r="C114">
        <v>10</v>
      </c>
      <c r="D114">
        <v>8000</v>
      </c>
      <c r="E114" s="37">
        <v>7019.1866248065608</v>
      </c>
      <c r="F114">
        <f t="shared" si="2"/>
        <v>6979.4249872218943</v>
      </c>
      <c r="H114">
        <f>J106*Inddata!$C$7+I106*Inddata!$AA$13+H106*Inddata!$C$9+K106</f>
        <v>2757.7628552277047</v>
      </c>
    </row>
    <row r="115" spans="2:8" x14ac:dyDescent="0.2">
      <c r="B115" s="19">
        <v>6000</v>
      </c>
      <c r="C115">
        <v>10</v>
      </c>
      <c r="D115">
        <v>8000</v>
      </c>
      <c r="E115" s="37">
        <v>8653.3856066162607</v>
      </c>
      <c r="F115">
        <f t="shared" si="2"/>
        <v>8630.0917037370746</v>
      </c>
    </row>
    <row r="116" spans="2:8" x14ac:dyDescent="0.2">
      <c r="B116" s="19">
        <v>8000</v>
      </c>
      <c r="C116">
        <v>10</v>
      </c>
      <c r="D116">
        <v>8000</v>
      </c>
      <c r="E116" s="37">
        <v>10426.195736146165</v>
      </c>
      <c r="F116">
        <f t="shared" si="2"/>
        <v>10280.758420252256</v>
      </c>
    </row>
    <row r="117" spans="2:8" x14ac:dyDescent="0.2">
      <c r="B117" s="19">
        <v>4000</v>
      </c>
      <c r="C117">
        <v>10</v>
      </c>
      <c r="D117">
        <v>10000</v>
      </c>
      <c r="E117" s="37">
        <v>8757.9904171734579</v>
      </c>
      <c r="F117">
        <f t="shared" si="2"/>
        <v>8704.2971191290162</v>
      </c>
    </row>
    <row r="118" spans="2:8" x14ac:dyDescent="0.2">
      <c r="B118" s="19">
        <v>6000</v>
      </c>
      <c r="C118">
        <v>10</v>
      </c>
      <c r="D118">
        <v>10000</v>
      </c>
      <c r="E118" s="37">
        <v>10471.062803250561</v>
      </c>
      <c r="F118">
        <f t="shared" si="2"/>
        <v>10354.963835644197</v>
      </c>
    </row>
    <row r="119" spans="2:8" x14ac:dyDescent="0.2">
      <c r="B119" s="19">
        <v>8000</v>
      </c>
      <c r="C119">
        <v>10</v>
      </c>
      <c r="D119">
        <v>10000</v>
      </c>
      <c r="E119" s="37">
        <v>12273.260083034609</v>
      </c>
      <c r="F119">
        <f t="shared" si="2"/>
        <v>12005.630552159382</v>
      </c>
    </row>
    <row r="122" spans="2:8" x14ac:dyDescent="0.2">
      <c r="H122" s="48">
        <f>IF(Inddata!Z11=1,H33,IF(Inddata!Z11=2,H73,IF(Inddata!Z11=3,H113)))</f>
        <v>2757.7628552277047</v>
      </c>
    </row>
    <row r="123" spans="2:8" x14ac:dyDescent="0.2">
      <c r="H123" s="50">
        <f>IF(Inddata!Z11=1,H34,IF(Inddata!Z11=2,H74,IF(Inddata!Z11=3,H114)))</f>
        <v>2757.7628552277047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T32"/>
  <sheetViews>
    <sheetView workbookViewId="0"/>
  </sheetViews>
  <sheetFormatPr defaultRowHeight="12.75" x14ac:dyDescent="0.2"/>
  <cols>
    <col min="1" max="1" width="3.625" customWidth="1"/>
    <col min="78" max="78" width="12" bestFit="1" customWidth="1"/>
  </cols>
  <sheetData>
    <row r="2" spans="2:98" x14ac:dyDescent="0.2">
      <c r="B2" t="s">
        <v>3</v>
      </c>
      <c r="D2">
        <v>3122.2</v>
      </c>
      <c r="E2" t="s">
        <v>9</v>
      </c>
      <c r="BZ2" t="s">
        <v>70</v>
      </c>
      <c r="CD2" t="s">
        <v>70</v>
      </c>
      <c r="CH2" t="s">
        <v>70</v>
      </c>
      <c r="CL2" t="s">
        <v>70</v>
      </c>
      <c r="CQ2">
        <f>Inddata!C9</f>
        <v>0</v>
      </c>
    </row>
    <row r="3" spans="2:98" x14ac:dyDescent="0.2">
      <c r="AJ3" t="s">
        <v>4</v>
      </c>
      <c r="AL3" t="s">
        <v>4</v>
      </c>
      <c r="AN3" t="s">
        <v>4</v>
      </c>
      <c r="AP3" t="s">
        <v>4</v>
      </c>
      <c r="AR3" t="s">
        <v>4</v>
      </c>
      <c r="AT3" t="s">
        <v>4</v>
      </c>
      <c r="AV3" t="s">
        <v>4</v>
      </c>
      <c r="AX3" t="s">
        <v>4</v>
      </c>
      <c r="AZ3" t="s">
        <v>4</v>
      </c>
      <c r="BB3" t="s">
        <v>4</v>
      </c>
      <c r="BD3" t="s">
        <v>4</v>
      </c>
      <c r="BF3" t="s">
        <v>4</v>
      </c>
      <c r="BI3" t="s">
        <v>66</v>
      </c>
      <c r="BM3" t="s">
        <v>67</v>
      </c>
      <c r="BQ3" t="s">
        <v>68</v>
      </c>
      <c r="BU3" t="s">
        <v>69</v>
      </c>
      <c r="BZ3" t="s">
        <v>66</v>
      </c>
      <c r="CD3" t="s">
        <v>67</v>
      </c>
      <c r="CH3" t="s">
        <v>68</v>
      </c>
      <c r="CL3" t="s">
        <v>69</v>
      </c>
    </row>
    <row r="4" spans="2:98" x14ac:dyDescent="0.2">
      <c r="B4" s="3" t="s">
        <v>8</v>
      </c>
      <c r="C4" s="1" t="s">
        <v>4</v>
      </c>
      <c r="D4" s="2" t="s">
        <v>5</v>
      </c>
      <c r="E4" s="1" t="s">
        <v>4</v>
      </c>
      <c r="F4" s="2" t="s">
        <v>5</v>
      </c>
      <c r="G4" s="1" t="s">
        <v>4</v>
      </c>
      <c r="H4" s="2" t="s">
        <v>5</v>
      </c>
      <c r="I4" s="39" t="s">
        <v>4</v>
      </c>
      <c r="J4" s="39" t="s">
        <v>5</v>
      </c>
      <c r="K4" s="1" t="s">
        <v>4</v>
      </c>
      <c r="L4" s="2" t="s">
        <v>5</v>
      </c>
      <c r="M4" s="39" t="s">
        <v>4</v>
      </c>
      <c r="N4" s="39" t="s">
        <v>5</v>
      </c>
      <c r="O4" s="1" t="s">
        <v>4</v>
      </c>
      <c r="P4" s="2" t="s">
        <v>5</v>
      </c>
      <c r="Q4" s="1" t="s">
        <v>4</v>
      </c>
      <c r="R4" s="2" t="s">
        <v>5</v>
      </c>
      <c r="S4" s="1" t="s">
        <v>4</v>
      </c>
      <c r="T4" s="2" t="s">
        <v>5</v>
      </c>
      <c r="U4" s="1" t="s">
        <v>4</v>
      </c>
      <c r="V4" s="2" t="s">
        <v>5</v>
      </c>
      <c r="W4" s="1" t="s">
        <v>4</v>
      </c>
      <c r="X4" s="2" t="s">
        <v>5</v>
      </c>
      <c r="Y4" s="1" t="s">
        <v>4</v>
      </c>
      <c r="Z4" s="2" t="s">
        <v>5</v>
      </c>
      <c r="AA4" s="11" t="s">
        <v>10</v>
      </c>
      <c r="AB4" s="12" t="s">
        <v>11</v>
      </c>
      <c r="AC4" s="11" t="s">
        <v>10</v>
      </c>
      <c r="AD4" s="12" t="s">
        <v>11</v>
      </c>
      <c r="AE4" s="11" t="s">
        <v>12</v>
      </c>
      <c r="AF4" s="12" t="s">
        <v>13</v>
      </c>
      <c r="AG4" s="11" t="s">
        <v>12</v>
      </c>
      <c r="AH4" s="12" t="s">
        <v>13</v>
      </c>
      <c r="AJ4" s="11">
        <f t="array" ref="AJ4:AK8">LINEST(D7:D9,$B$7:$B$9,TRUE,TRUE)</f>
        <v>0.86913415808801431</v>
      </c>
      <c r="AK4" s="17">
        <v>4428.8644312170945</v>
      </c>
      <c r="AL4" s="17">
        <f t="array" ref="AL4:AM8">LINEST(F7:F9,$B$7:$B$9,TRUE,TRUE)</f>
        <v>0.88928919307694732</v>
      </c>
      <c r="AM4" s="17">
        <v>6119.5411839841645</v>
      </c>
      <c r="AN4" s="17">
        <f t="array" ref="AN4:AO8">LINEST(H7:H9,$B$7:$B$9,TRUE,TRUE)</f>
        <v>0.9061172758543744</v>
      </c>
      <c r="AO4" s="17">
        <v>7864.1428472548396</v>
      </c>
      <c r="AP4" s="11">
        <f t="array" ref="AP4:AQ8">LINEST(J7:J9,$B$7:$B$9,TRUE,TRUE)</f>
        <v>0.90447588496446774</v>
      </c>
      <c r="AQ4" s="17">
        <v>3791.6461308643866</v>
      </c>
      <c r="AR4" s="17">
        <f t="array" ref="AR4:AS8">LINEST(L7:L9,$B$7:$B$9,TRUE,TRUE)</f>
        <v>0.92430685123707523</v>
      </c>
      <c r="AS4" s="17">
        <v>5540.3122020941719</v>
      </c>
      <c r="AT4" s="17">
        <f t="array" ref="AT4:AU8">LINEST(N7:N9,$B$7:$B$9,TRUE,TRUE)</f>
        <v>0.93842850737596228</v>
      </c>
      <c r="AU4" s="17">
        <v>7349.2091744378195</v>
      </c>
      <c r="AV4" s="11">
        <f t="array" ref="AV4:AW8">LINEST(P7:P9,$B$7:$B$9,TRUE,TRUE)</f>
        <v>0.95044887015739477</v>
      </c>
      <c r="AW4" s="17">
        <v>3264.3573800452168</v>
      </c>
      <c r="AX4" s="17">
        <f t="array" ref="AX4:AY8">LINEST(R7:R9,$B$7:$B$9,TRUE,TRUE)</f>
        <v>0.96309431395655687</v>
      </c>
      <c r="AY4" s="17">
        <v>5104.7507152740591</v>
      </c>
      <c r="AZ4" s="17">
        <f t="array" ref="AZ4:BA8">LINEST(T7:T9,$B$7:$B$9,TRUE,TRUE)</f>
        <v>0.97327473428438982</v>
      </c>
      <c r="BA4" s="17">
        <v>6973.9182591762237</v>
      </c>
      <c r="BB4" s="11">
        <f t="array" ref="BB4:BC8">LINEST(V7:V9,$B$7:$B$9,TRUE,TRUE)</f>
        <v>0.99241244441179965</v>
      </c>
      <c r="BC4" s="17">
        <v>2888.1534376967411</v>
      </c>
      <c r="BD4" s="17">
        <f t="array" ref="BD4:BE8">LINEST(X7:X9,$B$7:$B$9,TRUE,TRUE)</f>
        <v>0.99760018022526131</v>
      </c>
      <c r="BE4" s="17">
        <v>4807.0263730862061</v>
      </c>
      <c r="BF4" s="17">
        <f t="array" ref="BF4:BG8">LINEST(Z7:Z9,$B$7:$B$9,TRUE,TRUE)</f>
        <v>1.0012606855282686</v>
      </c>
      <c r="BG4" s="17">
        <v>6738.613467461033</v>
      </c>
      <c r="BH4" s="18"/>
      <c r="BI4">
        <v>6000</v>
      </c>
      <c r="BJ4">
        <f>AJ4</f>
        <v>0.86913415808801431</v>
      </c>
      <c r="BK4">
        <f>AK4</f>
        <v>4428.8644312170945</v>
      </c>
      <c r="BM4">
        <v>6000</v>
      </c>
      <c r="BN4">
        <f>AP4</f>
        <v>0.90447588496446774</v>
      </c>
      <c r="BO4">
        <f>AQ4</f>
        <v>3791.6461308643866</v>
      </c>
      <c r="BQ4">
        <v>6000</v>
      </c>
      <c r="BR4">
        <f>AV4</f>
        <v>0.95044887015739477</v>
      </c>
      <c r="BS4">
        <f>AW4</f>
        <v>3264.3573800452168</v>
      </c>
      <c r="BU4">
        <v>6000</v>
      </c>
      <c r="BV4">
        <f>BB4</f>
        <v>0.99241244441179965</v>
      </c>
      <c r="BW4">
        <f>BC4</f>
        <v>2888.1534376967411</v>
      </c>
      <c r="BZ4" s="46">
        <f t="array" ref="BZ4:CA8">LINEST(BJ4:BJ6,BI4:BI6,TRUE,TRUE)</f>
        <v>9.2457794415900253E-6</v>
      </c>
      <c r="CA4" s="46">
        <v>0.81421397347372515</v>
      </c>
      <c r="CB4" s="30">
        <f t="array" ref="CB4:CC8">LINEST(BK4:BK6,BI4:BI6,TRUE,TRUE)</f>
        <v>0.85881960400943647</v>
      </c>
      <c r="CC4" s="30">
        <v>-733.04067792345904</v>
      </c>
      <c r="CD4" s="46">
        <f t="array" ref="CD4:CE8">LINEST(BN4:BN6,BM4:BM6,TRUE,TRUE)</f>
        <v>8.4881556028736399E-6</v>
      </c>
      <c r="CE4" s="46">
        <v>0.85449850303617936</v>
      </c>
      <c r="CF4" s="30">
        <f t="array" ref="CF4:CG8">LINEST(BO4:BO6,BM4:BM6,TRUE,TRUE)</f>
        <v>0.88939076089335845</v>
      </c>
      <c r="CG4" s="30">
        <v>-1554.7369180147416</v>
      </c>
      <c r="CH4" s="46">
        <f t="array" ref="CH4:CI8">LINEST(BR4:BR6,BQ4:BQ6,TRUE,TRUE)</f>
        <v>5.7064660317487649E-6</v>
      </c>
      <c r="CI4" s="46">
        <v>0.91662091121212375</v>
      </c>
      <c r="CJ4" s="30">
        <f t="array" ref="CJ4:CK8">LINEST(BS4:BS6,BQ4:BQ6,TRUE,TRUE)</f>
        <v>0.92739021978275205</v>
      </c>
      <c r="CK4" s="30">
        <v>-2304.77964009685</v>
      </c>
      <c r="CL4" s="46">
        <f t="array" ref="CL4:CM8">LINEST(BV4:BV6,BU4:BU6,TRUE,TRUE)</f>
        <v>2.2120602791172459E-6</v>
      </c>
      <c r="CM4" s="46">
        <v>0.97939462115550524</v>
      </c>
      <c r="CN4" s="30">
        <f t="array" ref="CN4:CO8">LINEST(BW4:BW6,BU4:BU6,TRUE,TRUE)</f>
        <v>0.9626150074410732</v>
      </c>
      <c r="CO4" s="30">
        <v>-2889.6556334472589</v>
      </c>
      <c r="CQ4">
        <f>$CQ$2*BZ4+CA4</f>
        <v>0.81421397347372515</v>
      </c>
      <c r="CR4">
        <f>$CQ$2*CB4+CC4</f>
        <v>-733.04067792345904</v>
      </c>
      <c r="CT4">
        <f>CQ4*Inddata!C7+CR4</f>
        <v>3338.0291894451666</v>
      </c>
    </row>
    <row r="5" spans="2:98" x14ac:dyDescent="0.2">
      <c r="B5" s="5" t="s">
        <v>16</v>
      </c>
      <c r="C5" s="65" t="s">
        <v>0</v>
      </c>
      <c r="D5" s="66"/>
      <c r="E5" s="65" t="s">
        <v>0</v>
      </c>
      <c r="F5" s="66"/>
      <c r="G5" s="65" t="s">
        <v>0</v>
      </c>
      <c r="H5" s="66"/>
      <c r="I5" s="67" t="s">
        <v>29</v>
      </c>
      <c r="J5" s="67"/>
      <c r="K5" s="65" t="s">
        <v>29</v>
      </c>
      <c r="L5" s="66"/>
      <c r="M5" s="67" t="s">
        <v>29</v>
      </c>
      <c r="N5" s="67"/>
      <c r="O5" s="65" t="s">
        <v>1</v>
      </c>
      <c r="P5" s="66"/>
      <c r="Q5" s="65" t="s">
        <v>1</v>
      </c>
      <c r="R5" s="66"/>
      <c r="S5" s="65" t="s">
        <v>1</v>
      </c>
      <c r="T5" s="66"/>
      <c r="U5" s="65" t="s">
        <v>2</v>
      </c>
      <c r="V5" s="66"/>
      <c r="W5" s="65" t="s">
        <v>2</v>
      </c>
      <c r="X5" s="66"/>
      <c r="Y5" s="65" t="s">
        <v>2</v>
      </c>
      <c r="Z5" s="66"/>
      <c r="AA5" s="65" t="s">
        <v>0</v>
      </c>
      <c r="AB5" s="66"/>
      <c r="AC5" s="65" t="s">
        <v>29</v>
      </c>
      <c r="AD5" s="66"/>
      <c r="AE5" s="65" t="s">
        <v>1</v>
      </c>
      <c r="AF5" s="66"/>
      <c r="AG5" s="65" t="s">
        <v>2</v>
      </c>
      <c r="AH5" s="66"/>
      <c r="AJ5" s="18">
        <v>9.1642495411291321E-3</v>
      </c>
      <c r="AK5" s="19">
        <v>56.985619471471104</v>
      </c>
      <c r="AL5" s="19">
        <v>8.2372642163807009E-3</v>
      </c>
      <c r="AM5" s="19">
        <v>51.221390471084938</v>
      </c>
      <c r="AN5" s="19">
        <v>7.2771641531614419E-3</v>
      </c>
      <c r="AO5" s="19">
        <v>45.251245658724557</v>
      </c>
      <c r="AP5" s="18">
        <v>9.5371001488732485E-3</v>
      </c>
      <c r="AQ5" s="19">
        <v>59.304098770540371</v>
      </c>
      <c r="AR5" s="19">
        <v>8.6410890676358199E-3</v>
      </c>
      <c r="AS5" s="19">
        <v>53.732475443560737</v>
      </c>
      <c r="AT5" s="19">
        <v>7.5756184252930214E-3</v>
      </c>
      <c r="AU5" s="19">
        <v>47.107109742847868</v>
      </c>
      <c r="AV5" s="18">
        <v>7.6541794631606788E-3</v>
      </c>
      <c r="AW5" s="19">
        <v>47.595622128845001</v>
      </c>
      <c r="AX5" s="19">
        <v>6.4782739848621889E-3</v>
      </c>
      <c r="AY5" s="19">
        <v>40.283544711049196</v>
      </c>
      <c r="AZ5" s="19">
        <v>6.2923178381059349E-3</v>
      </c>
      <c r="BA5" s="19">
        <v>39.127222399017597</v>
      </c>
      <c r="BB5" s="18">
        <v>5.0024327860976351E-3</v>
      </c>
      <c r="BC5" s="19">
        <v>31.106391189021199</v>
      </c>
      <c r="BD5" s="19">
        <v>2.5757689507528792E-3</v>
      </c>
      <c r="BE5" s="19">
        <v>16.016782237899307</v>
      </c>
      <c r="BF5" s="19">
        <v>9.0015513252314841E-4</v>
      </c>
      <c r="BG5" s="19">
        <v>5.5973920850845342</v>
      </c>
      <c r="BH5" s="18"/>
      <c r="BI5">
        <v>8000</v>
      </c>
      <c r="BJ5">
        <f>AL4</f>
        <v>0.88928919307694732</v>
      </c>
      <c r="BK5">
        <f>AM4</f>
        <v>6119.5411839841645</v>
      </c>
      <c r="BM5">
        <v>8000</v>
      </c>
      <c r="BN5">
        <f>AR4</f>
        <v>0.92430685123707523</v>
      </c>
      <c r="BO5">
        <f>AS4</f>
        <v>5540.3122020941719</v>
      </c>
      <c r="BQ5">
        <v>8000</v>
      </c>
      <c r="BR5">
        <f>AX4</f>
        <v>0.96309431395655687</v>
      </c>
      <c r="BS5">
        <f>AY4</f>
        <v>5104.7507152740591</v>
      </c>
      <c r="BU5">
        <v>8000</v>
      </c>
      <c r="BV5">
        <f>BD4</f>
        <v>0.99760018022526131</v>
      </c>
      <c r="BW5">
        <f>BE4</f>
        <v>4807.0263730862061</v>
      </c>
      <c r="BZ5">
        <v>4.8020418872349142E-7</v>
      </c>
      <c r="CA5">
        <v>3.9208507823990327E-3</v>
      </c>
      <c r="CB5">
        <v>7.7833903988206356E-3</v>
      </c>
      <c r="CC5">
        <v>63.551116486627386</v>
      </c>
      <c r="CD5">
        <v>8.2406793564764236E-7</v>
      </c>
      <c r="CE5">
        <v>6.7284865190846933E-3</v>
      </c>
      <c r="CF5">
        <v>8.6935817429053264E-3</v>
      </c>
      <c r="CG5">
        <v>70.982797690979012</v>
      </c>
      <c r="CH5">
        <v>3.5579549118265847E-7</v>
      </c>
      <c r="CI5">
        <v>2.9050580206014154E-3</v>
      </c>
      <c r="CJ5">
        <v>4.153199280815042E-3</v>
      </c>
      <c r="CK5">
        <v>33.910730126969725</v>
      </c>
      <c r="CL5">
        <v>2.2043673658135556E-7</v>
      </c>
      <c r="CM5">
        <v>1.7998584172954262E-3</v>
      </c>
      <c r="CN5">
        <v>1.8351307781794873E-3</v>
      </c>
      <c r="CO5">
        <v>14.983780059387886</v>
      </c>
      <c r="CQ5" t="b">
        <f>IF(AND(Inddata!Z11=1,Inddata!AA11=1),$CQ$2*BZ4+CA4,IF(AND(Inddata!Z11=1,Inddata!AA11=2),$CQ$2*CD4+CE4,IF(AND(Inddata!Z11=1,Inddata!AA11=3),$CQ$2*CH4+CI4,IF(AND(Inddata!Z11=1,Inddata!AA11=4),$CQ$2*CL4+CM4))))</f>
        <v>0</v>
      </c>
      <c r="CR5" t="b">
        <f>IF(AND(Inddata!Z11=1,Inddata!AA11=1),$CQ$2*CB4+CC4,IF(AND(Inddata!Z11=1,Inddata!AA11=2),$CQ$2*CF4+CG4,IF(AND(Inddata!Z11=1,Inddata!AA11=3),$CQ$2*CJ4+CK4,IF(AND(Inddata!Z11=1,Inddata!AA11=4),$CQ$2*CN4+CO4))))</f>
        <v>0</v>
      </c>
      <c r="CT5">
        <f>CQ5*Inddata!C7+CR5</f>
        <v>0</v>
      </c>
    </row>
    <row r="6" spans="2:98" x14ac:dyDescent="0.2">
      <c r="B6" s="4" t="s">
        <v>33</v>
      </c>
      <c r="C6" s="62" t="s">
        <v>30</v>
      </c>
      <c r="D6" s="63"/>
      <c r="E6" s="62" t="s">
        <v>31</v>
      </c>
      <c r="F6" s="63"/>
      <c r="G6" s="62" t="s">
        <v>32</v>
      </c>
      <c r="H6" s="63"/>
      <c r="I6" s="64" t="s">
        <v>30</v>
      </c>
      <c r="J6" s="64"/>
      <c r="K6" s="62" t="s">
        <v>31</v>
      </c>
      <c r="L6" s="63"/>
      <c r="M6" s="64" t="s">
        <v>32</v>
      </c>
      <c r="N6" s="64"/>
      <c r="O6" s="62" t="s">
        <v>30</v>
      </c>
      <c r="P6" s="63"/>
      <c r="Q6" s="62" t="s">
        <v>31</v>
      </c>
      <c r="R6" s="63"/>
      <c r="S6" s="62" t="s">
        <v>32</v>
      </c>
      <c r="T6" s="63"/>
      <c r="U6" s="62" t="s">
        <v>30</v>
      </c>
      <c r="V6" s="63"/>
      <c r="W6" s="62" t="s">
        <v>31</v>
      </c>
      <c r="X6" s="63"/>
      <c r="Y6" s="62" t="s">
        <v>32</v>
      </c>
      <c r="Z6" s="63"/>
      <c r="AA6" s="62" t="s">
        <v>0</v>
      </c>
      <c r="AB6" s="63"/>
      <c r="AC6" s="62" t="s">
        <v>29</v>
      </c>
      <c r="AD6" s="63"/>
      <c r="AE6" s="62" t="s">
        <v>1</v>
      </c>
      <c r="AF6" s="63"/>
      <c r="AG6" s="62" t="s">
        <v>2</v>
      </c>
      <c r="AH6" s="63"/>
      <c r="AJ6" s="18">
        <v>0.99988883402170381</v>
      </c>
      <c r="AK6" s="19">
        <v>25.920411980072458</v>
      </c>
      <c r="AL6" s="19">
        <v>0.9999142088077152</v>
      </c>
      <c r="AM6" s="19">
        <v>23.298501543312341</v>
      </c>
      <c r="AN6" s="19">
        <v>0.99993550478260917</v>
      </c>
      <c r="AO6" s="19">
        <v>20.582928482032457</v>
      </c>
      <c r="AP6" s="18">
        <v>0.99988882928000811</v>
      </c>
      <c r="AQ6" s="19">
        <v>26.974992752494018</v>
      </c>
      <c r="AR6" s="19">
        <v>0.99991260900907397</v>
      </c>
      <c r="AS6" s="19">
        <v>24.440690706248915</v>
      </c>
      <c r="AT6" s="19">
        <v>0.99993483633568891</v>
      </c>
      <c r="AU6" s="19">
        <v>21.427084640825797</v>
      </c>
      <c r="AV6" s="18">
        <v>0.99993514975833886</v>
      </c>
      <c r="AW6" s="19">
        <v>21.649288811278893</v>
      </c>
      <c r="AX6" s="19">
        <v>0.99995475596434868</v>
      </c>
      <c r="AY6" s="19">
        <v>18.323325860321802</v>
      </c>
      <c r="AZ6" s="19">
        <v>0.99995820423753801</v>
      </c>
      <c r="BA6" s="19">
        <v>17.79736245082313</v>
      </c>
      <c r="BB6" s="18">
        <v>0.99997459219857499</v>
      </c>
      <c r="BC6" s="19">
        <v>14.149016581918204</v>
      </c>
      <c r="BD6" s="19">
        <v>0.99999333350013864</v>
      </c>
      <c r="BE6" s="19">
        <v>7.2853747673884754</v>
      </c>
      <c r="BF6" s="19">
        <v>0.99999919176054841</v>
      </c>
      <c r="BG6" s="19">
        <v>2.546023193307974</v>
      </c>
      <c r="BH6" s="18"/>
      <c r="BI6">
        <v>10000</v>
      </c>
      <c r="BJ6">
        <f>AN4</f>
        <v>0.9061172758543744</v>
      </c>
      <c r="BK6">
        <f>AO4</f>
        <v>7864.1428472548396</v>
      </c>
      <c r="BM6">
        <v>10000</v>
      </c>
      <c r="BN6">
        <f>AT4</f>
        <v>0.93842850737596228</v>
      </c>
      <c r="BO6">
        <f>AU4</f>
        <v>7349.2091744378195</v>
      </c>
      <c r="BQ6">
        <v>10000</v>
      </c>
      <c r="BR6">
        <f>AZ4</f>
        <v>0.97327473428438982</v>
      </c>
      <c r="BS6">
        <f>BA4</f>
        <v>6973.9182591762237</v>
      </c>
      <c r="BU6">
        <v>10000</v>
      </c>
      <c r="BV6">
        <f>BF4</f>
        <v>1.0012606855282686</v>
      </c>
      <c r="BW6">
        <f>BG4</f>
        <v>6738.613467461033</v>
      </c>
      <c r="BZ6">
        <v>0.99730973607161377</v>
      </c>
      <c r="CA6">
        <v>1.3582225528022615E-3</v>
      </c>
      <c r="CB6">
        <v>0.99991787071157223</v>
      </c>
      <c r="CC6">
        <v>22.014752526513348</v>
      </c>
      <c r="CD6">
        <v>0.9906626176475275</v>
      </c>
      <c r="CE6">
        <v>2.3308161018193892E-3</v>
      </c>
      <c r="CF6">
        <v>0.99990446318391046</v>
      </c>
      <c r="CG6">
        <v>24.589162412831683</v>
      </c>
      <c r="CH6">
        <v>0.99612758961295433</v>
      </c>
      <c r="CI6">
        <v>1.0063416181234248E-3</v>
      </c>
      <c r="CJ6">
        <v>0.99997994457788641</v>
      </c>
      <c r="CK6">
        <v>11.747021500333631</v>
      </c>
      <c r="CL6">
        <v>0.99016707980723428</v>
      </c>
      <c r="CM6">
        <v>6.2348924503723667E-4</v>
      </c>
      <c r="CN6">
        <v>0.99999636564619643</v>
      </c>
      <c r="CO6">
        <v>5.1905336704594447</v>
      </c>
    </row>
    <row r="7" spans="2:98" x14ac:dyDescent="0.2">
      <c r="B7" s="5">
        <v>4000</v>
      </c>
      <c r="C7" s="6">
        <v>1130.6478055446007</v>
      </c>
      <c r="D7" s="7">
        <v>7915.9830274481355</v>
      </c>
      <c r="E7" s="37">
        <v>937.68439228959585</v>
      </c>
      <c r="F7" s="37">
        <v>9686.2095297173819</v>
      </c>
      <c r="G7" s="6">
        <v>785.29984308622625</v>
      </c>
      <c r="H7" s="7">
        <v>11497.014896037868</v>
      </c>
      <c r="I7" s="37">
        <v>637.22694349549863</v>
      </c>
      <c r="J7" s="37">
        <v>7420.5621653987382</v>
      </c>
      <c r="K7" s="6">
        <v>500.99233981306929</v>
      </c>
      <c r="L7" s="7">
        <v>9247.5174772410555</v>
      </c>
      <c r="M7" s="37">
        <v>401.95572166438285</v>
      </c>
      <c r="N7" s="37">
        <v>11111.670774615912</v>
      </c>
      <c r="O7" s="6">
        <v>294.65592391863987</v>
      </c>
      <c r="P7" s="7">
        <v>7074.9911458217593</v>
      </c>
      <c r="Q7" s="6">
        <v>221.08330013047734</v>
      </c>
      <c r="R7" s="7">
        <v>8964.608437558376</v>
      </c>
      <c r="S7" s="6">
        <v>167.56788615767394</v>
      </c>
      <c r="T7" s="7">
        <v>10874.282939109096</v>
      </c>
      <c r="U7" s="6">
        <v>88.244305271757284</v>
      </c>
      <c r="V7" s="7">
        <v>6863.579527175254</v>
      </c>
      <c r="W7" s="6">
        <v>61.876198353430382</v>
      </c>
      <c r="X7" s="7">
        <v>8800.4013357814274</v>
      </c>
      <c r="Y7" s="6">
        <v>42.980566238448766</v>
      </c>
      <c r="Z7" s="7">
        <v>10744.695619190257</v>
      </c>
      <c r="AA7" s="6"/>
      <c r="AB7" s="16"/>
      <c r="AC7" s="6"/>
      <c r="AD7" s="16"/>
      <c r="AE7" s="6"/>
      <c r="AF7" s="16"/>
      <c r="AG7" s="6"/>
      <c r="AH7" s="16"/>
      <c r="AJ7" s="18">
        <v>8994.5579515194859</v>
      </c>
      <c r="AK7" s="19">
        <v>1</v>
      </c>
      <c r="AL7" s="19">
        <v>11655.208211696458</v>
      </c>
      <c r="AM7" s="19">
        <v>1</v>
      </c>
      <c r="AN7" s="19">
        <v>15504.025650799282</v>
      </c>
      <c r="AO7" s="19">
        <v>1</v>
      </c>
      <c r="AP7" s="18">
        <v>8994.1742695627254</v>
      </c>
      <c r="AQ7" s="19">
        <v>1</v>
      </c>
      <c r="AR7" s="19">
        <v>11441.827108426933</v>
      </c>
      <c r="AS7" s="19">
        <v>1</v>
      </c>
      <c r="AT7" s="19">
        <v>15344.975561244297</v>
      </c>
      <c r="AU7" s="19">
        <v>1</v>
      </c>
      <c r="AV7" s="18">
        <v>15419.143000027701</v>
      </c>
      <c r="AW7" s="19">
        <v>1</v>
      </c>
      <c r="AX7" s="19">
        <v>22101.360799714097</v>
      </c>
      <c r="AY7" s="19">
        <v>1</v>
      </c>
      <c r="AZ7" s="19">
        <v>23924.870497203607</v>
      </c>
      <c r="BA7" s="19">
        <v>1</v>
      </c>
      <c r="BB7" s="18">
        <v>39356.990220182837</v>
      </c>
      <c r="BC7" s="19">
        <v>1</v>
      </c>
      <c r="BD7" s="19">
        <v>150002.75321428422</v>
      </c>
      <c r="BE7" s="19">
        <v>1</v>
      </c>
      <c r="BF7" s="19">
        <v>1237256.1000241605</v>
      </c>
      <c r="BG7" s="19">
        <v>1</v>
      </c>
      <c r="BH7" s="18"/>
      <c r="BZ7">
        <v>370.71074162968614</v>
      </c>
      <c r="CA7">
        <v>1</v>
      </c>
      <c r="CB7">
        <v>12174.924315717437</v>
      </c>
      <c r="CC7">
        <v>1</v>
      </c>
      <c r="CD7">
        <v>106.09639621164249</v>
      </c>
      <c r="CE7">
        <v>1</v>
      </c>
      <c r="CF7">
        <v>10466.169002813966</v>
      </c>
      <c r="CG7">
        <v>1</v>
      </c>
      <c r="CH7">
        <v>257.23709267625765</v>
      </c>
      <c r="CI7">
        <v>1</v>
      </c>
      <c r="CJ7">
        <v>49860.827606507475</v>
      </c>
      <c r="CK7">
        <v>1</v>
      </c>
      <c r="CL7">
        <v>100.69918807392831</v>
      </c>
      <c r="CM7">
        <v>1</v>
      </c>
      <c r="CN7">
        <v>275151.077654931</v>
      </c>
      <c r="CO7">
        <v>1</v>
      </c>
    </row>
    <row r="8" spans="2:98" x14ac:dyDescent="0.2">
      <c r="B8" s="5">
        <v>6000</v>
      </c>
      <c r="C8" s="6">
        <v>822.67819796533684</v>
      </c>
      <c r="D8" s="7">
        <v>9622.5054519872119</v>
      </c>
      <c r="E8" s="37">
        <v>673.23602604779546</v>
      </c>
      <c r="F8" s="37">
        <v>11436.253195594994</v>
      </c>
      <c r="G8" s="6">
        <v>557.833526580804</v>
      </c>
      <c r="H8" s="7">
        <v>13284.040611650027</v>
      </c>
      <c r="I8" s="37">
        <v>398.64919727625932</v>
      </c>
      <c r="J8" s="37">
        <v>9196.476451298231</v>
      </c>
      <c r="K8" s="6">
        <v>305.18039957224744</v>
      </c>
      <c r="L8" s="7">
        <v>11066.197569119458</v>
      </c>
      <c r="M8" s="37">
        <v>238.07799227599568</v>
      </c>
      <c r="N8" s="37">
        <v>12962.28507734511</v>
      </c>
      <c r="O8" s="6">
        <v>154.5467766736607</v>
      </c>
      <c r="P8" s="7">
        <v>8949.3740306956588</v>
      </c>
      <c r="Q8" s="6">
        <v>110.33849655015476</v>
      </c>
      <c r="R8" s="7">
        <v>10868.355666097223</v>
      </c>
      <c r="S8" s="6">
        <v>77.828094222848463</v>
      </c>
      <c r="T8" s="7">
        <v>12799.035179291932</v>
      </c>
      <c r="U8" s="6">
        <v>41.248226482924139</v>
      </c>
      <c r="V8" s="7">
        <v>8831.0754805049128</v>
      </c>
      <c r="W8" s="6">
        <v>33.66180130239033</v>
      </c>
      <c r="X8" s="7">
        <v>10786.678970849423</v>
      </c>
      <c r="Y8" s="6">
        <v>27.891676329040628</v>
      </c>
      <c r="Z8" s="7">
        <v>12744.098761398345</v>
      </c>
      <c r="AA8" s="6"/>
      <c r="AB8" s="16"/>
      <c r="AC8" s="6"/>
      <c r="AD8" s="16"/>
      <c r="AE8" s="6"/>
      <c r="AF8" s="16"/>
      <c r="AG8" s="6"/>
      <c r="AH8" s="16"/>
      <c r="AJ8" s="18">
        <v>6043153.4780428866</v>
      </c>
      <c r="AK8" s="19">
        <v>671.8677572166838</v>
      </c>
      <c r="AL8" s="19">
        <v>6326682.1513875788</v>
      </c>
      <c r="AM8" s="19">
        <v>542.82017416372753</v>
      </c>
      <c r="AN8" s="19">
        <v>6568388.1408140194</v>
      </c>
      <c r="AO8" s="19">
        <v>423.65694489646296</v>
      </c>
      <c r="AP8" s="18">
        <v>6544613.0118580563</v>
      </c>
      <c r="AQ8" s="19">
        <v>727.65023399710481</v>
      </c>
      <c r="AR8" s="19">
        <v>6834745.2419503713</v>
      </c>
      <c r="AS8" s="19">
        <v>597.34736219852209</v>
      </c>
      <c r="AT8" s="19">
        <v>7045184.5076470077</v>
      </c>
      <c r="AU8" s="19">
        <v>459.11995620511277</v>
      </c>
      <c r="AV8" s="18">
        <v>7226824.4382677432</v>
      </c>
      <c r="AW8" s="19">
        <v>468.69170603416546</v>
      </c>
      <c r="AX8" s="19">
        <v>7420405.260603603</v>
      </c>
      <c r="AY8" s="19">
        <v>335.74427058353768</v>
      </c>
      <c r="AZ8" s="19">
        <v>7578109.6671707919</v>
      </c>
      <c r="BA8" s="19">
        <v>316.7461102059691</v>
      </c>
      <c r="BB8" s="18">
        <v>7879059.6785872206</v>
      </c>
      <c r="BC8" s="19">
        <v>200.1946702353963</v>
      </c>
      <c r="BD8" s="19">
        <v>7961648.9566837829</v>
      </c>
      <c r="BE8" s="19">
        <v>53.07668550130068</v>
      </c>
      <c r="BF8" s="19">
        <v>8020183.6830763035</v>
      </c>
      <c r="BG8" s="19">
        <v>6.4822341008621329</v>
      </c>
      <c r="BH8" s="18"/>
      <c r="BZ8">
        <v>6.8387549986022983E-4</v>
      </c>
      <c r="CA8">
        <v>1.8447685029406921E-6</v>
      </c>
      <c r="CB8">
        <v>5900568.8978473991</v>
      </c>
      <c r="CC8">
        <v>484.64932880362585</v>
      </c>
      <c r="CD8">
        <v>5.7639028430876086E-4</v>
      </c>
      <c r="CE8">
        <v>5.4327037005005329E-6</v>
      </c>
      <c r="CF8">
        <v>6328127.4044997338</v>
      </c>
      <c r="CG8">
        <v>604.62690816461441</v>
      </c>
      <c r="CH8">
        <v>2.6051003657201981E-4</v>
      </c>
      <c r="CI8">
        <v>1.0127234523672731E-6</v>
      </c>
      <c r="CJ8">
        <v>6880420.9579896033</v>
      </c>
      <c r="CK8">
        <v>137.99251412930059</v>
      </c>
      <c r="CL8">
        <v>3.9145685427586107E-5</v>
      </c>
      <c r="CM8">
        <v>3.8873883867710336E-7</v>
      </c>
      <c r="CN8">
        <v>7413021.2204062166</v>
      </c>
      <c r="CO8">
        <v>26.941639784173194</v>
      </c>
    </row>
    <row r="9" spans="2:98" x14ac:dyDescent="0.2">
      <c r="B9" s="4">
        <v>8000</v>
      </c>
      <c r="C9" s="8">
        <v>578.20037366107999</v>
      </c>
      <c r="D9" s="9">
        <v>11392.519659800191</v>
      </c>
      <c r="E9" s="38">
        <v>465.8571003609074</v>
      </c>
      <c r="F9" s="38">
        <v>13243.36630202517</v>
      </c>
      <c r="G9" s="8">
        <v>380.78488226526952</v>
      </c>
      <c r="H9" s="9">
        <v>15121.483999455366</v>
      </c>
      <c r="I9" s="38">
        <v>226.14641911733091</v>
      </c>
      <c r="J9" s="38">
        <v>11038.465705256609</v>
      </c>
      <c r="K9" s="8">
        <v>169.23568052503734</v>
      </c>
      <c r="L9" s="9">
        <v>12944.744882189356</v>
      </c>
      <c r="M9" s="38">
        <v>126.68568692973658</v>
      </c>
      <c r="N9" s="38">
        <v>14865.38480411976</v>
      </c>
      <c r="O9" s="8">
        <v>67.467340312042779</v>
      </c>
      <c r="P9" s="9">
        <v>10876.786626451338</v>
      </c>
      <c r="Q9" s="8">
        <v>44.476491720253826</v>
      </c>
      <c r="R9" s="9">
        <v>12816.985693384602</v>
      </c>
      <c r="S9" s="8">
        <v>31.682759056596744</v>
      </c>
      <c r="T9" s="9">
        <v>14767.381876246654</v>
      </c>
      <c r="U9" s="8">
        <v>28.910018683054819</v>
      </c>
      <c r="V9" s="9">
        <v>10833.229304822451</v>
      </c>
      <c r="W9" s="8">
        <v>23.292855018045039</v>
      </c>
      <c r="X9" s="9">
        <v>12790.802056682471</v>
      </c>
      <c r="Y9" s="8">
        <v>19.039244113263663</v>
      </c>
      <c r="Z9" s="9">
        <v>14749.738361303331</v>
      </c>
      <c r="AA9" s="8"/>
      <c r="AB9" s="14"/>
      <c r="AC9" s="8"/>
      <c r="AD9" s="14"/>
      <c r="AE9" s="8"/>
      <c r="AF9" s="14"/>
      <c r="AG9" s="8"/>
      <c r="AH9" s="14"/>
      <c r="AJ9" s="13"/>
      <c r="AK9" s="20"/>
      <c r="AL9" s="20"/>
      <c r="AM9" s="20"/>
      <c r="AN9" s="20"/>
      <c r="AO9" s="20"/>
      <c r="AP9" s="13"/>
      <c r="AQ9" s="20"/>
      <c r="AR9" s="20"/>
      <c r="AS9" s="20"/>
      <c r="AT9" s="20"/>
      <c r="AU9" s="20"/>
      <c r="AV9" s="13"/>
      <c r="AW9" s="20"/>
      <c r="AX9" s="20"/>
      <c r="AY9" s="20"/>
      <c r="AZ9" s="20"/>
      <c r="BA9" s="20"/>
      <c r="BB9" s="13"/>
      <c r="BC9" s="20"/>
      <c r="BD9" s="20"/>
      <c r="BE9" s="20"/>
      <c r="BF9" s="20"/>
      <c r="BG9" s="20"/>
      <c r="BH9" s="18"/>
    </row>
    <row r="12" spans="2:98" x14ac:dyDescent="0.2">
      <c r="B12" t="s">
        <v>6</v>
      </c>
      <c r="D12" s="10">
        <v>4162.8999999999996</v>
      </c>
      <c r="E12" t="s">
        <v>9</v>
      </c>
      <c r="F12" s="10"/>
      <c r="G12" s="10"/>
      <c r="H12" s="10"/>
      <c r="J12" s="10"/>
      <c r="K12" s="10"/>
      <c r="L12" s="10"/>
      <c r="M12" s="10"/>
      <c r="N12" s="10"/>
      <c r="BZ12" t="s">
        <v>71</v>
      </c>
      <c r="CD12" t="s">
        <v>71</v>
      </c>
      <c r="CH12" t="s">
        <v>71</v>
      </c>
      <c r="CL12" t="s">
        <v>71</v>
      </c>
      <c r="CQ12">
        <f>Inddata!C9</f>
        <v>0</v>
      </c>
    </row>
    <row r="13" spans="2:98" x14ac:dyDescent="0.2">
      <c r="AJ13" t="s">
        <v>4</v>
      </c>
      <c r="AL13" t="s">
        <v>4</v>
      </c>
      <c r="AN13" t="s">
        <v>4</v>
      </c>
      <c r="AP13" t="s">
        <v>4</v>
      </c>
      <c r="AR13" t="s">
        <v>4</v>
      </c>
      <c r="AT13" t="s">
        <v>4</v>
      </c>
      <c r="AV13" t="s">
        <v>4</v>
      </c>
      <c r="AX13" t="s">
        <v>4</v>
      </c>
      <c r="AZ13" t="s">
        <v>4</v>
      </c>
      <c r="BB13" t="s">
        <v>4</v>
      </c>
      <c r="BD13" t="s">
        <v>4</v>
      </c>
      <c r="BF13" t="s">
        <v>4</v>
      </c>
      <c r="BI13" t="s">
        <v>66</v>
      </c>
      <c r="BM13" t="s">
        <v>67</v>
      </c>
      <c r="BQ13" t="s">
        <v>68</v>
      </c>
      <c r="BU13" t="s">
        <v>69</v>
      </c>
      <c r="BZ13" t="s">
        <v>66</v>
      </c>
      <c r="CD13" t="s">
        <v>67</v>
      </c>
      <c r="CH13" t="s">
        <v>68</v>
      </c>
      <c r="CL13" t="s">
        <v>69</v>
      </c>
    </row>
    <row r="14" spans="2:98" x14ac:dyDescent="0.2">
      <c r="B14" s="3" t="s">
        <v>8</v>
      </c>
      <c r="C14" s="1" t="s">
        <v>4</v>
      </c>
      <c r="D14" s="2" t="s">
        <v>5</v>
      </c>
      <c r="E14" s="1" t="s">
        <v>4</v>
      </c>
      <c r="F14" s="2" t="s">
        <v>5</v>
      </c>
      <c r="G14" s="1" t="s">
        <v>4</v>
      </c>
      <c r="H14" s="2" t="s">
        <v>5</v>
      </c>
      <c r="I14" s="39" t="s">
        <v>4</v>
      </c>
      <c r="J14" s="39" t="s">
        <v>5</v>
      </c>
      <c r="K14" s="1" t="s">
        <v>4</v>
      </c>
      <c r="L14" s="2" t="s">
        <v>5</v>
      </c>
      <c r="M14" s="39" t="s">
        <v>4</v>
      </c>
      <c r="N14" s="39" t="s">
        <v>5</v>
      </c>
      <c r="O14" s="1" t="s">
        <v>4</v>
      </c>
      <c r="P14" s="2" t="s">
        <v>5</v>
      </c>
      <c r="Q14" s="1" t="s">
        <v>4</v>
      </c>
      <c r="R14" s="2" t="s">
        <v>5</v>
      </c>
      <c r="S14" s="1" t="s">
        <v>4</v>
      </c>
      <c r="T14" s="2" t="s">
        <v>5</v>
      </c>
      <c r="U14" s="1" t="s">
        <v>4</v>
      </c>
      <c r="V14" s="2" t="s">
        <v>5</v>
      </c>
      <c r="W14" s="1" t="s">
        <v>4</v>
      </c>
      <c r="X14" s="2" t="s">
        <v>5</v>
      </c>
      <c r="Y14" s="1" t="s">
        <v>4</v>
      </c>
      <c r="Z14" s="2" t="s">
        <v>5</v>
      </c>
      <c r="AA14" s="11" t="s">
        <v>10</v>
      </c>
      <c r="AB14" s="12" t="s">
        <v>11</v>
      </c>
      <c r="AC14" s="11" t="s">
        <v>10</v>
      </c>
      <c r="AD14" s="12" t="s">
        <v>11</v>
      </c>
      <c r="AE14" s="11" t="s">
        <v>12</v>
      </c>
      <c r="AF14" s="12" t="s">
        <v>13</v>
      </c>
      <c r="AG14" s="11" t="s">
        <v>12</v>
      </c>
      <c r="AH14" s="12" t="s">
        <v>13</v>
      </c>
      <c r="AJ14" s="11">
        <f t="array" ref="AJ14:AK18">LINEST(D17:D19,$B$7:$B$9,TRUE,TRUE)</f>
        <v>0.83332024729566545</v>
      </c>
      <c r="AK14" s="17">
        <v>4326.7800022542961</v>
      </c>
      <c r="AL14" s="17">
        <f t="array" ref="AL14:AM18">LINEST(F17:F19,$B$7:$B$9,TRUE,TRUE)</f>
        <v>0.85045051953974216</v>
      </c>
      <c r="AM14" s="17">
        <v>5971.3610874748601</v>
      </c>
      <c r="AN14" s="17">
        <f t="array" ref="AN14:AO18">LINEST(H17:H19,$B$7:$B$9,TRUE,TRUE)</f>
        <v>0.8672040349011102</v>
      </c>
      <c r="AO14" s="17">
        <v>7651.0949135229721</v>
      </c>
      <c r="AP14" s="11">
        <f t="array" ref="AP14:AQ18">LINEST(J17:J19,$B$7:$B$9,TRUE,TRUE)</f>
        <v>0.85322988286629931</v>
      </c>
      <c r="AQ14" s="17">
        <v>3685.3894313357805</v>
      </c>
      <c r="AR14" s="17">
        <f t="array" ref="AR14:AS18">LINEST(L17:L19,$B$7:$B$9,TRUE,TRUE)</f>
        <v>0.87288274310643676</v>
      </c>
      <c r="AS14" s="17">
        <v>5350.5986650034774</v>
      </c>
      <c r="AT14" s="17">
        <f t="array" ref="AT14:AU18">LINEST(N17:N19,$B$7:$B$9,TRUE,TRUE)</f>
        <v>0.89075689079522102</v>
      </c>
      <c r="AU14" s="17">
        <v>7063.1116506662247</v>
      </c>
      <c r="AV14" s="11">
        <f t="array" ref="AV14:AW18">LINEST(P17:P19,$B$7:$B$9,TRUE,TRUE)</f>
        <v>0.89114905389238785</v>
      </c>
      <c r="AW14" s="17">
        <v>3014.8075068688704</v>
      </c>
      <c r="AX14" s="17">
        <f t="array" ref="AX14:AY18">LINEST(R17:R19,$B$7:$B$9,TRUE,TRUE)</f>
        <v>0.90989078146808899</v>
      </c>
      <c r="AY14" s="17">
        <v>4746.5138727191925</v>
      </c>
      <c r="AZ14" s="17">
        <f t="array" ref="AZ14:BA18">LINEST(T17:T19,$B$7:$B$9,TRUE,TRUE)</f>
        <v>0.92388181361667787</v>
      </c>
      <c r="BA14" s="17">
        <v>6536.5004512629721</v>
      </c>
      <c r="BB14" s="11">
        <f t="array" ref="BB14:BC18">LINEST(V17:V19,$B$7:$B$9,TRUE,TRUE)</f>
        <v>0.93616403403909432</v>
      </c>
      <c r="BC14" s="17">
        <v>2372.7441539368219</v>
      </c>
      <c r="BD14" s="17">
        <f t="array" ref="BD14:BE18">LINEST(X17:X19,$B$7:$B$9,TRUE,TRUE)</f>
        <v>0.95467671912982133</v>
      </c>
      <c r="BE14" s="17">
        <v>4163.6996486874286</v>
      </c>
      <c r="BF14" s="17">
        <f t="array" ref="BF14:BG18">LINEST(Z17:Z19,$B$7:$B$9,TRUE,TRUE)</f>
        <v>0.9676483180663793</v>
      </c>
      <c r="BG14" s="17">
        <v>6005.4376105383908</v>
      </c>
      <c r="BI14">
        <v>6000</v>
      </c>
      <c r="BJ14">
        <f>AJ14</f>
        <v>0.83332024729566545</v>
      </c>
      <c r="BK14">
        <f>AK14</f>
        <v>4326.7800022542961</v>
      </c>
      <c r="BM14">
        <v>6000</v>
      </c>
      <c r="BN14">
        <f>AP14</f>
        <v>0.85322988286629931</v>
      </c>
      <c r="BO14">
        <f>AQ14</f>
        <v>3685.3894313357805</v>
      </c>
      <c r="BQ14">
        <v>6000</v>
      </c>
      <c r="BR14">
        <f>AV14</f>
        <v>0.89114905389238785</v>
      </c>
      <c r="BS14">
        <f>AW14</f>
        <v>3014.8075068688704</v>
      </c>
      <c r="BU14">
        <v>6000</v>
      </c>
      <c r="BV14">
        <f>BB14</f>
        <v>0.93616403403909432</v>
      </c>
      <c r="BW14">
        <f>BC14</f>
        <v>2372.7441539368219</v>
      </c>
      <c r="BZ14" s="46">
        <f t="array" ref="BZ14:CA18">LINEST(BJ14:BJ16,BI14:BI16,TRUE,TRUE)</f>
        <v>8.4709469013611912E-6</v>
      </c>
      <c r="CA14" s="46">
        <v>0.78255735870128307</v>
      </c>
      <c r="CB14" s="30">
        <f t="array" ref="CB14:CC18">LINEST(BK14:BK16,BI14:BI16,TRUE,TRUE)</f>
        <v>0.83107872781716929</v>
      </c>
      <c r="CC14" s="30">
        <v>-665.55115478664447</v>
      </c>
      <c r="CD14" s="46">
        <f t="array" ref="CD14:CE18">LINEST(BN14:BN16,BM14:BM16,TRUE,TRUE)</f>
        <v>9.3817519822304321E-6</v>
      </c>
      <c r="CE14" s="46">
        <v>0.79723582306480878</v>
      </c>
      <c r="CF14" s="30">
        <f t="array" ref="CF14:CG18">LINEST(BO14:BO16,BM14:BM16,TRUE,TRUE)</f>
        <v>0.84443055483261131</v>
      </c>
      <c r="CG14" s="30">
        <v>-1389.077856325729</v>
      </c>
      <c r="CH14" s="46">
        <f t="array" ref="CH14:CI18">LINEST(BR14:BR16,BQ14:BQ16,TRUE,TRUE)</f>
        <v>8.1831899310725067E-6</v>
      </c>
      <c r="CI14" s="46">
        <v>0.84284169687713828</v>
      </c>
      <c r="CJ14" s="30">
        <f t="array" ref="CJ14:CK18">LINEST(BS14:BS16,BQ14:BQ16,TRUE,TRUE)</f>
        <v>0.88042323609852557</v>
      </c>
      <c r="CK14" s="30">
        <v>-2277.445278504526</v>
      </c>
      <c r="CL14" s="46">
        <f t="array" ref="CL14:CM18">LINEST(BV14:BV16,BU14:BU16,TRUE,TRUE)</f>
        <v>7.8710710068212484E-6</v>
      </c>
      <c r="CM14" s="46">
        <v>0.88986112235719494</v>
      </c>
      <c r="CN14" s="30">
        <f t="array" ref="CN14:CO18">LINEST(BW14:BW16,BU14:BU16,TRUE,TRUE)</f>
        <v>0.90817336415039251</v>
      </c>
      <c r="CO14" s="30">
        <v>-3084.75977548226</v>
      </c>
      <c r="CQ14">
        <f>$CQ$12*BZ14+CA14</f>
        <v>0.78255735870128307</v>
      </c>
      <c r="CR14">
        <f>$CQ$12*CB14+CC14</f>
        <v>-665.55115478664447</v>
      </c>
      <c r="CT14">
        <f>CQ14*Inddata!C7+CR14</f>
        <v>3247.235638719771</v>
      </c>
    </row>
    <row r="15" spans="2:98" x14ac:dyDescent="0.2">
      <c r="B15" s="5" t="s">
        <v>16</v>
      </c>
      <c r="C15" s="65" t="s">
        <v>0</v>
      </c>
      <c r="D15" s="66"/>
      <c r="E15" s="65" t="s">
        <v>0</v>
      </c>
      <c r="F15" s="66"/>
      <c r="G15" s="65" t="s">
        <v>0</v>
      </c>
      <c r="H15" s="66"/>
      <c r="I15" s="67" t="s">
        <v>29</v>
      </c>
      <c r="J15" s="67"/>
      <c r="K15" s="65" t="s">
        <v>29</v>
      </c>
      <c r="L15" s="66"/>
      <c r="M15" s="67" t="s">
        <v>29</v>
      </c>
      <c r="N15" s="67"/>
      <c r="O15" s="65" t="s">
        <v>1</v>
      </c>
      <c r="P15" s="66"/>
      <c r="Q15" s="65" t="s">
        <v>1</v>
      </c>
      <c r="R15" s="66"/>
      <c r="S15" s="65" t="s">
        <v>1</v>
      </c>
      <c r="T15" s="66"/>
      <c r="U15" s="65" t="s">
        <v>2</v>
      </c>
      <c r="V15" s="66"/>
      <c r="W15" s="65" t="s">
        <v>2</v>
      </c>
      <c r="X15" s="66"/>
      <c r="Y15" s="65" t="s">
        <v>2</v>
      </c>
      <c r="Z15" s="66"/>
      <c r="AA15" s="65" t="s">
        <v>0</v>
      </c>
      <c r="AB15" s="66"/>
      <c r="AC15" s="65" t="s">
        <v>29</v>
      </c>
      <c r="AD15" s="66"/>
      <c r="AE15" s="65" t="s">
        <v>1</v>
      </c>
      <c r="AF15" s="66"/>
      <c r="AG15" s="65" t="s">
        <v>2</v>
      </c>
      <c r="AH15" s="66"/>
      <c r="AJ15" s="18">
        <v>7.8152185500920852E-3</v>
      </c>
      <c r="AK15" s="19">
        <v>48.59700386629337</v>
      </c>
      <c r="AL15" s="19">
        <v>7.5370356910142997E-3</v>
      </c>
      <c r="AM15" s="19">
        <v>46.867192551166369</v>
      </c>
      <c r="AN15" s="19">
        <v>7.1482887521249891E-3</v>
      </c>
      <c r="AO15" s="19">
        <v>44.44986584800067</v>
      </c>
      <c r="AP15" s="18">
        <v>8.6595380237850742E-3</v>
      </c>
      <c r="AQ15" s="19">
        <v>53.847195714986</v>
      </c>
      <c r="AR15" s="19">
        <v>7.9829674658394266E-3</v>
      </c>
      <c r="AS15" s="19">
        <v>49.640109014906784</v>
      </c>
      <c r="AT15" s="19">
        <v>7.6167993930569269E-3</v>
      </c>
      <c r="AU15" s="19">
        <v>47.363183406919184</v>
      </c>
      <c r="AV15" s="18">
        <v>8.6537386464091478E-3</v>
      </c>
      <c r="AW15" s="19">
        <v>53.8111337209479</v>
      </c>
      <c r="AX15" s="19">
        <v>7.5864322714190155E-3</v>
      </c>
      <c r="AY15" s="19">
        <v>47.174352970740486</v>
      </c>
      <c r="AZ15" s="19">
        <v>7.1709223645292442E-3</v>
      </c>
      <c r="BA15" s="19">
        <v>44.59060736949079</v>
      </c>
      <c r="BB15" s="18">
        <v>1.466488875091599E-2</v>
      </c>
      <c r="BC15" s="19">
        <v>91.189984100781075</v>
      </c>
      <c r="BD15" s="19">
        <v>9.4039327076419123E-3</v>
      </c>
      <c r="BE15" s="19">
        <v>58.476029969277306</v>
      </c>
      <c r="BF15" s="19">
        <v>6.7940170939393566E-3</v>
      </c>
      <c r="BG15" s="19">
        <v>42.246915152224865</v>
      </c>
      <c r="BI15">
        <v>8000</v>
      </c>
      <c r="BJ15">
        <f>AL14</f>
        <v>0.85045051953974216</v>
      </c>
      <c r="BK15">
        <f>AM14</f>
        <v>5971.3610874748601</v>
      </c>
      <c r="BM15">
        <v>8000</v>
      </c>
      <c r="BN15">
        <f>AR14</f>
        <v>0.87288274310643676</v>
      </c>
      <c r="BO15">
        <f>AS14</f>
        <v>5350.5986650034774</v>
      </c>
      <c r="BQ15">
        <v>8000</v>
      </c>
      <c r="BR15">
        <f>AX14</f>
        <v>0.90989078146808899</v>
      </c>
      <c r="BS15">
        <f>AY14</f>
        <v>4746.5138727191925</v>
      </c>
      <c r="BU15">
        <v>8000</v>
      </c>
      <c r="BV15">
        <f>BD14</f>
        <v>0.95467671912982133</v>
      </c>
      <c r="BW15">
        <f>BE14</f>
        <v>4163.6996486874286</v>
      </c>
      <c r="BZ15">
        <v>5.4380171912724435E-8</v>
      </c>
      <c r="CA15">
        <v>4.4401224437001465E-4</v>
      </c>
      <c r="CB15">
        <v>5.0738610948843042E-3</v>
      </c>
      <c r="CC15">
        <v>41.427902360752427</v>
      </c>
      <c r="CD15">
        <v>2.5673504258368619E-7</v>
      </c>
      <c r="CE15">
        <v>2.0962328447391388E-3</v>
      </c>
      <c r="CF15">
        <v>6.827708487005227E-3</v>
      </c>
      <c r="CG15">
        <v>55.748006352109847</v>
      </c>
      <c r="CH15">
        <v>6.8570382092029901E-7</v>
      </c>
      <c r="CI15">
        <v>5.5987482531050193E-3</v>
      </c>
      <c r="CJ15">
        <v>8.4120241217489049E-3</v>
      </c>
      <c r="CK15">
        <v>68.683889340895377</v>
      </c>
      <c r="CL15">
        <v>7.9978689567810361E-7</v>
      </c>
      <c r="CM15">
        <v>6.5302326579197148E-3</v>
      </c>
      <c r="CN15">
        <v>7.3298177626257193E-3</v>
      </c>
      <c r="CO15">
        <v>59.847711420072145</v>
      </c>
      <c r="CQ15" t="b">
        <f>IF(AND(Inddata!Z11=2,Inddata!AA11=1),$CQ$12*BZ14+CA14,IF(AND(Inddata!Z11=2,Inddata!AA11=2),$CQ$12*CD14+CE14,IF(AND(Inddata!Z11=2,Inddata!AA11=3),$CQ$12*CH14+CI14,IF(AND(Inddata!Z11=2,Inddata!AA11=4),$CQ$12*CL14+CM14))))</f>
        <v>0</v>
      </c>
      <c r="CR15" t="b">
        <f>IF(AND(Inddata!Z11=2,Inddata!AA11=1),$CQ$12*CB14+CC14,IF(AND(Inddata!Z11=2,Inddata!AA11=2),$CQ$12*CF14+CG14,IF(AND(Inddata!Z11=2,Inddata!AA11=3),$CQ$12*CJ14+CK14,IF(AND(Inddata!Z11=2,Inddata!AA11=4),$CQ$12*CN14+CO14))))</f>
        <v>0</v>
      </c>
      <c r="CT15">
        <f>CQ15*Inddata!C7+CR15</f>
        <v>0</v>
      </c>
    </row>
    <row r="16" spans="2:98" x14ac:dyDescent="0.2">
      <c r="B16" s="4" t="s">
        <v>33</v>
      </c>
      <c r="C16" s="62" t="s">
        <v>30</v>
      </c>
      <c r="D16" s="63"/>
      <c r="E16" s="62" t="s">
        <v>31</v>
      </c>
      <c r="F16" s="63"/>
      <c r="G16" s="62" t="s">
        <v>32</v>
      </c>
      <c r="H16" s="63"/>
      <c r="I16" s="64" t="s">
        <v>30</v>
      </c>
      <c r="J16" s="64"/>
      <c r="K16" s="62" t="s">
        <v>31</v>
      </c>
      <c r="L16" s="63"/>
      <c r="M16" s="64" t="s">
        <v>32</v>
      </c>
      <c r="N16" s="64"/>
      <c r="O16" s="62" t="s">
        <v>30</v>
      </c>
      <c r="P16" s="63"/>
      <c r="Q16" s="62" t="s">
        <v>31</v>
      </c>
      <c r="R16" s="63"/>
      <c r="S16" s="62" t="s">
        <v>32</v>
      </c>
      <c r="T16" s="63"/>
      <c r="U16" s="62" t="s">
        <v>30</v>
      </c>
      <c r="V16" s="63"/>
      <c r="W16" s="62" t="s">
        <v>31</v>
      </c>
      <c r="X16" s="63"/>
      <c r="Y16" s="62" t="s">
        <v>32</v>
      </c>
      <c r="Z16" s="63"/>
      <c r="AA16" s="62" t="s">
        <v>0</v>
      </c>
      <c r="AB16" s="63"/>
      <c r="AC16" s="62" t="s">
        <v>29</v>
      </c>
      <c r="AD16" s="63"/>
      <c r="AE16" s="62" t="s">
        <v>1</v>
      </c>
      <c r="AF16" s="63"/>
      <c r="AG16" s="62" t="s">
        <v>2</v>
      </c>
      <c r="AH16" s="63"/>
      <c r="AJ16" s="18">
        <v>0.99991205316998322</v>
      </c>
      <c r="AK16" s="19">
        <v>22.104776132900042</v>
      </c>
      <c r="AL16" s="19">
        <v>0.99992146397196868</v>
      </c>
      <c r="AM16" s="19">
        <v>21.317956188644985</v>
      </c>
      <c r="AN16" s="19">
        <v>0.99993205897611248</v>
      </c>
      <c r="AO16" s="19">
        <v>20.218413802028408</v>
      </c>
      <c r="AP16" s="18">
        <v>0.99989700583996255</v>
      </c>
      <c r="AQ16" s="19">
        <v>24.492872234244714</v>
      </c>
      <c r="AR16" s="19">
        <v>0.99991636644062354</v>
      </c>
      <c r="AS16" s="19">
        <v>22.579241716346587</v>
      </c>
      <c r="AT16" s="19">
        <v>0.9999268869502449</v>
      </c>
      <c r="AU16" s="19">
        <v>21.543562007072524</v>
      </c>
      <c r="AV16" s="18">
        <v>0.99990570994319639</v>
      </c>
      <c r="AW16" s="19">
        <v>24.476469117968009</v>
      </c>
      <c r="AX16" s="19">
        <v>0.99993048693312736</v>
      </c>
      <c r="AY16" s="19">
        <v>21.45767081653139</v>
      </c>
      <c r="AZ16" s="19">
        <v>0.99993975915683653</v>
      </c>
      <c r="BA16" s="19">
        <v>20.282431325283596</v>
      </c>
      <c r="BB16" s="18">
        <v>0.9997546720197219</v>
      </c>
      <c r="BC16" s="19">
        <v>41.478569124476053</v>
      </c>
      <c r="BD16" s="19">
        <v>0.99990297934013483</v>
      </c>
      <c r="BE16" s="19">
        <v>26.598338349582264</v>
      </c>
      <c r="BF16" s="19">
        <v>0.99995070569254096</v>
      </c>
      <c r="BG16" s="19">
        <v>19.216382234487355</v>
      </c>
      <c r="BI16">
        <v>10000</v>
      </c>
      <c r="BJ16">
        <f>AN14</f>
        <v>0.8672040349011102</v>
      </c>
      <c r="BK16">
        <f>AO14</f>
        <v>7651.0949135229721</v>
      </c>
      <c r="BM16">
        <v>10000</v>
      </c>
      <c r="BN16">
        <f>AT14</f>
        <v>0.89075689079522102</v>
      </c>
      <c r="BO16">
        <f>AU14</f>
        <v>7063.1116506662247</v>
      </c>
      <c r="BQ16">
        <v>10000</v>
      </c>
      <c r="BR16">
        <f>AZ14</f>
        <v>0.92388181361667787</v>
      </c>
      <c r="BS16">
        <f>BA14</f>
        <v>6536.5004512629721</v>
      </c>
      <c r="BU16">
        <v>10000</v>
      </c>
      <c r="BV16">
        <f>BF14</f>
        <v>0.9676483180663793</v>
      </c>
      <c r="BW16">
        <f>BG14</f>
        <v>6005.4376105383908</v>
      </c>
      <c r="BZ16">
        <v>0.9999587903110988</v>
      </c>
      <c r="CA16">
        <v>1.5381035328631068E-4</v>
      </c>
      <c r="CB16">
        <v>0.99996272852094237</v>
      </c>
      <c r="CC16">
        <v>14.351046347965166</v>
      </c>
      <c r="CD16">
        <v>0.99925169731903252</v>
      </c>
      <c r="CE16">
        <v>7.2615635831656603E-4</v>
      </c>
      <c r="CF16">
        <v>0.99993462771427966</v>
      </c>
      <c r="CG16">
        <v>19.311675884505348</v>
      </c>
      <c r="CH16">
        <v>0.99302748996918488</v>
      </c>
      <c r="CI16">
        <v>1.9394632866330773E-3</v>
      </c>
      <c r="CJ16">
        <v>0.99990871942178594</v>
      </c>
      <c r="CK16">
        <v>23.792797199973847</v>
      </c>
      <c r="CL16">
        <v>0.98978072934446426</v>
      </c>
      <c r="CM16">
        <v>2.2621389497524992E-3</v>
      </c>
      <c r="CN16">
        <v>0.99993486408106014</v>
      </c>
      <c r="CO16">
        <v>20.731855379257013</v>
      </c>
    </row>
    <row r="17" spans="2:98" x14ac:dyDescent="0.2">
      <c r="B17" s="5">
        <v>4000</v>
      </c>
      <c r="C17" s="6">
        <v>1924.4755254498739</v>
      </c>
      <c r="D17" s="7">
        <v>7669.0852285043029</v>
      </c>
      <c r="E17" s="37">
        <v>1674.0665662251704</v>
      </c>
      <c r="F17" s="37">
        <v>9381.8661848040283</v>
      </c>
      <c r="G17" s="6">
        <v>1457.1756518914208</v>
      </c>
      <c r="H17" s="7">
        <v>11128.165185997983</v>
      </c>
      <c r="I17" s="37">
        <v>1365.6984329644051</v>
      </c>
      <c r="J17" s="37">
        <v>7108.3081360191582</v>
      </c>
      <c r="K17" s="6">
        <v>1145.5479556813304</v>
      </c>
      <c r="L17" s="7">
        <v>8851.3475742598948</v>
      </c>
      <c r="M17" s="37">
        <v>965.9448021009423</v>
      </c>
      <c r="N17" s="37">
        <v>10634.934336206998</v>
      </c>
      <c r="O17" s="6">
        <v>849.7864960573836</v>
      </c>
      <c r="P17" s="7">
        <v>6589.3961991124243</v>
      </c>
      <c r="Q17" s="6">
        <v>692.03743744051337</v>
      </c>
      <c r="R17" s="7">
        <v>8394.8370560197345</v>
      </c>
      <c r="S17" s="6">
        <v>574.31843953882537</v>
      </c>
      <c r="T17" s="7">
        <v>10240.307973644683</v>
      </c>
      <c r="U17" s="6">
        <v>399.72414197439349</v>
      </c>
      <c r="V17" s="7">
        <v>6134.3338450291549</v>
      </c>
      <c r="W17" s="6">
        <v>295.46563278719816</v>
      </c>
      <c r="X17" s="7">
        <v>7993.2652513671119</v>
      </c>
      <c r="Y17" s="6">
        <v>222.8864038951331</v>
      </c>
      <c r="Z17" s="7">
        <v>9883.8759380000392</v>
      </c>
      <c r="AA17" s="6"/>
      <c r="AB17" s="16"/>
      <c r="AC17" s="6"/>
      <c r="AD17" s="16"/>
      <c r="AE17" s="6"/>
      <c r="AF17" s="16"/>
      <c r="AG17" s="6"/>
      <c r="AH17" s="16"/>
      <c r="AJ17" s="18">
        <v>11369.506473170006</v>
      </c>
      <c r="AK17" s="19">
        <v>1</v>
      </c>
      <c r="AL17" s="19">
        <v>12732.00961440052</v>
      </c>
      <c r="AM17" s="19">
        <v>1</v>
      </c>
      <c r="AN17" s="19">
        <v>14717.647773911633</v>
      </c>
      <c r="AO17" s="19">
        <v>1</v>
      </c>
      <c r="AP17" s="18">
        <v>9708.2883677824702</v>
      </c>
      <c r="AQ17" s="19">
        <v>1</v>
      </c>
      <c r="AR17" s="19">
        <v>11955.922645117549</v>
      </c>
      <c r="AS17" s="19">
        <v>1</v>
      </c>
      <c r="AT17" s="19">
        <v>13676.448873362089</v>
      </c>
      <c r="AU17" s="19">
        <v>1</v>
      </c>
      <c r="AV17" s="18">
        <v>10604.572145140253</v>
      </c>
      <c r="AW17" s="19">
        <v>1</v>
      </c>
      <c r="AX17" s="19">
        <v>14384.784500518446</v>
      </c>
      <c r="AY17" s="19">
        <v>1</v>
      </c>
      <c r="AZ17" s="19">
        <v>16599.033257951905</v>
      </c>
      <c r="BA17" s="19">
        <v>1</v>
      </c>
      <c r="BB17" s="18">
        <v>4075.175896718089</v>
      </c>
      <c r="BC17" s="19">
        <v>1</v>
      </c>
      <c r="BD17" s="19">
        <v>10306.083062406455</v>
      </c>
      <c r="BE17" s="19">
        <v>1</v>
      </c>
      <c r="BF17" s="19">
        <v>20285.318066892036</v>
      </c>
      <c r="BG17" s="19">
        <v>1</v>
      </c>
      <c r="BZ17">
        <v>24265.13805298958</v>
      </c>
      <c r="CA17">
        <v>1</v>
      </c>
      <c r="CB17">
        <v>26829.166800046343</v>
      </c>
      <c r="CC17">
        <v>1</v>
      </c>
      <c r="CD17">
        <v>1335.3576336611306</v>
      </c>
      <c r="CE17">
        <v>1</v>
      </c>
      <c r="CF17">
        <v>15296.002223188963</v>
      </c>
      <c r="CG17">
        <v>1</v>
      </c>
      <c r="CH17">
        <v>142.42037452517096</v>
      </c>
      <c r="CI17">
        <v>1</v>
      </c>
      <c r="CJ17">
        <v>10954.232970315992</v>
      </c>
      <c r="CK17">
        <v>1</v>
      </c>
      <c r="CL17">
        <v>96.854341440532352</v>
      </c>
      <c r="CM17">
        <v>1</v>
      </c>
      <c r="CN17">
        <v>15351.512350734487</v>
      </c>
      <c r="CO17">
        <v>1</v>
      </c>
    </row>
    <row r="18" spans="2:98" x14ac:dyDescent="0.2">
      <c r="B18" s="5">
        <v>6000</v>
      </c>
      <c r="C18" s="6">
        <v>1549.5512767215985</v>
      </c>
      <c r="D18" s="7">
        <v>9308.6530118936043</v>
      </c>
      <c r="E18" s="37">
        <v>1334.3665156734644</v>
      </c>
      <c r="F18" s="37">
        <v>11056.658166372918</v>
      </c>
      <c r="G18" s="6">
        <v>1152.3292909643533</v>
      </c>
      <c r="H18" s="7">
        <v>12837.810857188495</v>
      </c>
      <c r="I18" s="37">
        <v>1027.668646925333</v>
      </c>
      <c r="J18" s="37">
        <v>8784.7703820972147</v>
      </c>
      <c r="K18" s="6">
        <v>849.16759928087345</v>
      </c>
      <c r="L18" s="7">
        <v>10569.45924998076</v>
      </c>
      <c r="M18" s="37">
        <v>706.58118449359097</v>
      </c>
      <c r="N18" s="37">
        <v>12390.062750717771</v>
      </c>
      <c r="O18" s="6">
        <v>587.61514170272346</v>
      </c>
      <c r="P18" s="7">
        <v>8341.7168768751926</v>
      </c>
      <c r="Q18" s="6">
        <v>471.04679597099999</v>
      </c>
      <c r="R18" s="7">
        <v>10188.338446671356</v>
      </c>
      <c r="S18" s="6">
        <v>382.74923090887927</v>
      </c>
      <c r="T18" s="7">
        <v>12063.230797133045</v>
      </c>
      <c r="U18" s="6">
        <v>206.7595131265231</v>
      </c>
      <c r="V18" s="7">
        <v>7955.8612482994777</v>
      </c>
      <c r="W18" s="6">
        <v>157.75086044564625</v>
      </c>
      <c r="X18" s="7">
        <v>9870.0425111455643</v>
      </c>
      <c r="Y18" s="6">
        <v>120.15584232079026</v>
      </c>
      <c r="Z18" s="7">
        <v>11795.637408544408</v>
      </c>
      <c r="AA18" s="6"/>
      <c r="AB18" s="16"/>
      <c r="AC18" s="6"/>
      <c r="AD18" s="16"/>
      <c r="AE18" s="6"/>
      <c r="AF18" s="16"/>
      <c r="AG18" s="6"/>
      <c r="AH18" s="16"/>
      <c r="AJ18" s="18">
        <v>5555381.0764232697</v>
      </c>
      <c r="AK18" s="19">
        <v>488.62112788562735</v>
      </c>
      <c r="AL18" s="19">
        <v>5786128.6894833362</v>
      </c>
      <c r="AM18" s="19">
        <v>454.45525606098698</v>
      </c>
      <c r="AN18" s="19">
        <v>6016342.7051901249</v>
      </c>
      <c r="AO18" s="19">
        <v>408.78425667005286</v>
      </c>
      <c r="AP18" s="18">
        <v>5824009.8641283065</v>
      </c>
      <c r="AQ18" s="19">
        <v>599.90079028303569</v>
      </c>
      <c r="AR18" s="19">
        <v>6095394.2657041373</v>
      </c>
      <c r="AS18" s="19">
        <v>509.82215648520599</v>
      </c>
      <c r="AT18" s="19">
        <v>6347582.7079933528</v>
      </c>
      <c r="AU18" s="19">
        <v>464.12506395257873</v>
      </c>
      <c r="AV18" s="18">
        <v>6353173.0900263777</v>
      </c>
      <c r="AW18" s="19">
        <v>599.09754048284162</v>
      </c>
      <c r="AX18" s="19">
        <v>6623209.8736048741</v>
      </c>
      <c r="AY18" s="19">
        <v>460.43163687062292</v>
      </c>
      <c r="AZ18" s="19">
        <v>6828460.8442531284</v>
      </c>
      <c r="BA18" s="19">
        <v>411.37702046484532</v>
      </c>
      <c r="BB18" s="18">
        <v>7011224.7890267968</v>
      </c>
      <c r="BC18" s="19">
        <v>1720.4716966139381</v>
      </c>
      <c r="BD18" s="19">
        <v>7291261.1043878356</v>
      </c>
      <c r="BE18" s="19">
        <v>707.47160295885851</v>
      </c>
      <c r="BF18" s="19">
        <v>7490746.1396535374</v>
      </c>
      <c r="BG18" s="19">
        <v>369.26934618192126</v>
      </c>
      <c r="BZ18">
        <v>5.740555312454456E-4</v>
      </c>
      <c r="CA18">
        <v>2.3657624778059701E-8</v>
      </c>
      <c r="CB18">
        <v>5525534.8146416321</v>
      </c>
      <c r="CC18">
        <v>205.95253128144432</v>
      </c>
      <c r="CD18">
        <v>7.0413816204867676E-4</v>
      </c>
      <c r="CE18">
        <v>5.2730305672357703E-7</v>
      </c>
      <c r="CF18">
        <v>5704503.6954792915</v>
      </c>
      <c r="CG18">
        <v>372.94082546818544</v>
      </c>
      <c r="CH18">
        <v>5.3571677958405128E-4</v>
      </c>
      <c r="CI18">
        <v>3.7615178401975783E-6</v>
      </c>
      <c r="CJ18">
        <v>6201160.5972975986</v>
      </c>
      <c r="CK18">
        <v>566.0971985990833</v>
      </c>
      <c r="CL18">
        <v>4.9563007035537609E-4</v>
      </c>
      <c r="CM18">
        <v>5.1172726279873397E-6</v>
      </c>
      <c r="CN18">
        <v>6598230.8748179274</v>
      </c>
      <c r="CO18">
        <v>429.80982746642792</v>
      </c>
    </row>
    <row r="19" spans="2:98" x14ac:dyDescent="0.2">
      <c r="B19" s="4">
        <v>8000</v>
      </c>
      <c r="C19" s="8">
        <v>1228.7724503975571</v>
      </c>
      <c r="D19" s="9">
        <v>11002.366217686964</v>
      </c>
      <c r="E19" s="38">
        <v>1046.884580143417</v>
      </c>
      <c r="F19" s="38">
        <v>12783.668262962996</v>
      </c>
      <c r="G19" s="8">
        <v>897.00772725663046</v>
      </c>
      <c r="H19" s="9">
        <v>14596.981325602423</v>
      </c>
      <c r="I19" s="38">
        <v>749.63390019460599</v>
      </c>
      <c r="J19" s="38">
        <v>10521.227667484354</v>
      </c>
      <c r="K19" s="8">
        <v>608.0948638664222</v>
      </c>
      <c r="L19" s="9">
        <v>12342.878546685641</v>
      </c>
      <c r="M19" s="38">
        <v>499.98830104282172</v>
      </c>
      <c r="N19" s="38">
        <v>14197.961899387881</v>
      </c>
      <c r="O19" s="8">
        <v>385.39864739194383</v>
      </c>
      <c r="P19" s="9">
        <v>10153.992414681974</v>
      </c>
      <c r="Q19" s="8">
        <v>302.61649907298744</v>
      </c>
      <c r="R19" s="9">
        <v>12034.40018189209</v>
      </c>
      <c r="S19" s="8">
        <v>240.86162976660759</v>
      </c>
      <c r="T19" s="9">
        <v>13935.835228111393</v>
      </c>
      <c r="U19" s="8">
        <v>115.39621389566604</v>
      </c>
      <c r="V19" s="9">
        <v>9878.9899811855303</v>
      </c>
      <c r="W19" s="8">
        <v>85.188445067844427</v>
      </c>
      <c r="X19" s="9">
        <v>11811.972127886396</v>
      </c>
      <c r="Y19" s="8">
        <v>64.495611920881743</v>
      </c>
      <c r="Z19" s="9">
        <v>13754.469210265555</v>
      </c>
      <c r="AA19" s="8"/>
      <c r="AB19" s="14"/>
      <c r="AC19" s="8"/>
      <c r="AD19" s="14"/>
      <c r="AE19" s="8"/>
      <c r="AF19" s="14"/>
      <c r="AG19" s="8"/>
      <c r="AH19" s="14"/>
      <c r="AJ19" s="13"/>
      <c r="AK19" s="20"/>
      <c r="AL19" s="20"/>
      <c r="AM19" s="20"/>
      <c r="AN19" s="20"/>
      <c r="AO19" s="20"/>
      <c r="AP19" s="13"/>
      <c r="AQ19" s="20"/>
      <c r="AR19" s="20"/>
      <c r="AS19" s="20"/>
      <c r="AT19" s="20"/>
      <c r="AU19" s="20"/>
      <c r="AV19" s="13"/>
      <c r="AW19" s="20"/>
      <c r="AX19" s="20"/>
      <c r="AY19" s="20"/>
      <c r="AZ19" s="20"/>
      <c r="BA19" s="20"/>
      <c r="BB19" s="13"/>
      <c r="BC19" s="20"/>
      <c r="BD19" s="20"/>
      <c r="BE19" s="20"/>
      <c r="BF19" s="20"/>
      <c r="BG19" s="14"/>
    </row>
    <row r="22" spans="2:98" x14ac:dyDescent="0.2">
      <c r="B22" t="s">
        <v>7</v>
      </c>
      <c r="D22" s="10">
        <v>6244.4</v>
      </c>
      <c r="E22" t="s">
        <v>9</v>
      </c>
      <c r="F22" s="10"/>
      <c r="G22" s="10"/>
      <c r="H22" s="10"/>
      <c r="J22" s="10"/>
      <c r="K22" s="10"/>
      <c r="L22" s="10"/>
      <c r="M22" s="10"/>
      <c r="N22" s="10"/>
      <c r="BZ22" t="s">
        <v>72</v>
      </c>
      <c r="CD22" t="s">
        <v>72</v>
      </c>
      <c r="CH22" t="s">
        <v>72</v>
      </c>
      <c r="CL22" t="s">
        <v>72</v>
      </c>
      <c r="CQ22">
        <f>Inddata!C9</f>
        <v>0</v>
      </c>
    </row>
    <row r="23" spans="2:98" x14ac:dyDescent="0.2">
      <c r="AJ23" t="s">
        <v>4</v>
      </c>
      <c r="AL23" t="s">
        <v>4</v>
      </c>
      <c r="AN23" t="s">
        <v>4</v>
      </c>
      <c r="AP23" t="s">
        <v>4</v>
      </c>
      <c r="AR23" t="s">
        <v>4</v>
      </c>
      <c r="AT23" t="s">
        <v>4</v>
      </c>
      <c r="AV23" t="s">
        <v>4</v>
      </c>
      <c r="AX23" t="s">
        <v>4</v>
      </c>
      <c r="AZ23" t="s">
        <v>4</v>
      </c>
      <c r="BB23" t="s">
        <v>4</v>
      </c>
      <c r="BD23" t="s">
        <v>4</v>
      </c>
      <c r="BF23" t="s">
        <v>4</v>
      </c>
      <c r="BI23" t="s">
        <v>66</v>
      </c>
      <c r="BM23" t="s">
        <v>67</v>
      </c>
      <c r="BQ23" t="s">
        <v>68</v>
      </c>
      <c r="BU23" t="s">
        <v>69</v>
      </c>
      <c r="BZ23" t="s">
        <v>66</v>
      </c>
      <c r="CD23" t="s">
        <v>67</v>
      </c>
      <c r="CH23" t="s">
        <v>68</v>
      </c>
      <c r="CL23" t="s">
        <v>69</v>
      </c>
    </row>
    <row r="24" spans="2:98" x14ac:dyDescent="0.2">
      <c r="B24" s="3" t="s">
        <v>8</v>
      </c>
      <c r="C24" s="1" t="s">
        <v>4</v>
      </c>
      <c r="D24" s="2" t="s">
        <v>5</v>
      </c>
      <c r="E24" s="1" t="s">
        <v>4</v>
      </c>
      <c r="F24" s="2" t="s">
        <v>5</v>
      </c>
      <c r="G24" s="1" t="s">
        <v>4</v>
      </c>
      <c r="H24" s="2" t="s">
        <v>5</v>
      </c>
      <c r="I24" s="39" t="s">
        <v>4</v>
      </c>
      <c r="J24" s="39" t="s">
        <v>5</v>
      </c>
      <c r="K24" s="1" t="s">
        <v>4</v>
      </c>
      <c r="L24" s="2" t="s">
        <v>5</v>
      </c>
      <c r="M24" s="39" t="s">
        <v>4</v>
      </c>
      <c r="N24" s="39" t="s">
        <v>5</v>
      </c>
      <c r="O24" s="1" t="s">
        <v>4</v>
      </c>
      <c r="P24" s="2" t="s">
        <v>5</v>
      </c>
      <c r="Q24" s="1" t="s">
        <v>4</v>
      </c>
      <c r="R24" s="2" t="s">
        <v>5</v>
      </c>
      <c r="S24" s="1" t="s">
        <v>4</v>
      </c>
      <c r="T24" s="2" t="s">
        <v>5</v>
      </c>
      <c r="U24" s="1" t="s">
        <v>4</v>
      </c>
      <c r="V24" s="2" t="s">
        <v>5</v>
      </c>
      <c r="W24" s="1" t="s">
        <v>4</v>
      </c>
      <c r="X24" s="2" t="s">
        <v>5</v>
      </c>
      <c r="Y24" s="1" t="s">
        <v>4</v>
      </c>
      <c r="Z24" s="2" t="s">
        <v>5</v>
      </c>
      <c r="AA24" s="11" t="s">
        <v>10</v>
      </c>
      <c r="AB24" s="12" t="s">
        <v>11</v>
      </c>
      <c r="AC24" s="11" t="s">
        <v>10</v>
      </c>
      <c r="AD24" s="12" t="s">
        <v>11</v>
      </c>
      <c r="AE24" s="11" t="s">
        <v>12</v>
      </c>
      <c r="AF24" s="12" t="s">
        <v>13</v>
      </c>
      <c r="AG24" s="11" t="s">
        <v>12</v>
      </c>
      <c r="AH24" s="12" t="s">
        <v>13</v>
      </c>
      <c r="AJ24" s="11">
        <f t="array" ref="AJ24:AK28">LINEST(D27:D29,$B$7:$B$9,TRUE,TRUE)</f>
        <v>0.79048966127836628</v>
      </c>
      <c r="AK24" s="17">
        <v>4188.6480258217798</v>
      </c>
      <c r="AL24" s="17">
        <f t="array" ref="AL24:AM28">LINEST(F27:F29,$B$7:$B$9,TRUE,TRUE)</f>
        <v>0.8046792530964143</v>
      </c>
      <c r="AM24" s="17">
        <v>5774.303836615949</v>
      </c>
      <c r="AN24" s="17">
        <f t="array" ref="AN24:AO28">LINEST(H27:H29,$B$7:$B$9,TRUE,TRUE)</f>
        <v>0.81772038918904932</v>
      </c>
      <c r="AO24" s="17">
        <v>7392.6562077156059</v>
      </c>
      <c r="AP24" s="11">
        <f t="array" ref="AP24:AQ28">LINEST(J27:J29,$B$7:$B$9,TRUE,TRUE)</f>
        <v>0.80008172245313014</v>
      </c>
      <c r="AQ24" s="17">
        <v>3539.9581161529222</v>
      </c>
      <c r="AR24" s="17">
        <f t="array" ref="AR24:AS28">LINEST(L27:L29,$B$7:$B$9,TRUE,TRUE)</f>
        <v>0.81281657556966702</v>
      </c>
      <c r="AS24" s="17">
        <v>5146.8643975556752</v>
      </c>
      <c r="AT24" s="17">
        <f t="array" ref="AT24:AU28">LINEST(N27:N29,$B$7:$B$9,TRUE,TRUE)</f>
        <v>0.82670013507703821</v>
      </c>
      <c r="AU24" s="17">
        <v>6774.3657568512554</v>
      </c>
      <c r="AV24" s="11">
        <f t="array" ref="AV24:AW28">LINEST(P27:P29,$B$7:$B$9,TRUE,TRUE)</f>
        <v>0.81758513527657761</v>
      </c>
      <c r="AW24" s="17">
        <v>2791.051230814237</v>
      </c>
      <c r="AX24" s="17">
        <f t="array" ref="AX24:AY28">LINEST(R27:R29,$B$7:$B$9,TRUE,TRUE)</f>
        <v>0.83285160249450063</v>
      </c>
      <c r="AY24" s="17">
        <v>4419.0569568015135</v>
      </c>
      <c r="AZ24" s="17">
        <f t="array" ref="AZ24:BA28">LINEST(T27:T29,$B$7:$B$9,TRUE,TRUE)</f>
        <v>0.84832357157005189</v>
      </c>
      <c r="BA24" s="17">
        <v>6075.9325380342152</v>
      </c>
      <c r="BB24" s="11">
        <f t="array" ref="BB24:BC28">LINEST(V27:V29,$B$7:$B$9,TRUE,TRUE)</f>
        <v>0.82218255878611057</v>
      </c>
      <c r="BC24" s="17">
        <v>1999.5212839597516</v>
      </c>
      <c r="BD24" s="17">
        <f t="array" ref="BD24:BE28">LINEST(X27:X29,$B$7:$B$9,TRUE,TRUE)</f>
        <v>0.85175227783490115</v>
      </c>
      <c r="BE24" s="17">
        <v>3589.0756555135886</v>
      </c>
      <c r="BF24" s="17">
        <f t="array" ref="BF24:BG28">LINEST(Z27:Z29,$B$7:$B$9,TRUE,TRUE)</f>
        <v>0.87881741646528788</v>
      </c>
      <c r="BG24" s="17">
        <v>5227.8666023611486</v>
      </c>
      <c r="BI24">
        <v>6000</v>
      </c>
      <c r="BJ24">
        <f>AJ24</f>
        <v>0.79048966127836628</v>
      </c>
      <c r="BK24">
        <f>AK24</f>
        <v>4188.6480258217798</v>
      </c>
      <c r="BM24">
        <v>6000</v>
      </c>
      <c r="BN24">
        <f>AP24</f>
        <v>0.80008172245313014</v>
      </c>
      <c r="BO24">
        <f>AQ24</f>
        <v>3539.9581161529222</v>
      </c>
      <c r="BQ24">
        <v>6000</v>
      </c>
      <c r="BR24">
        <f>AV24</f>
        <v>0.81758513527657761</v>
      </c>
      <c r="BS24">
        <f>AW24</f>
        <v>2791.051230814237</v>
      </c>
      <c r="BU24">
        <v>6000</v>
      </c>
      <c r="BV24">
        <f>BB24</f>
        <v>0.82218255878611057</v>
      </c>
      <c r="BW24">
        <f>BC24</f>
        <v>1999.5212839597516</v>
      </c>
      <c r="BZ24" s="46">
        <f t="array" ref="BZ24:CA28">LINEST(BJ24:BJ26,BI24:BI26,TRUE,TRUE)</f>
        <v>6.8076819776707622E-6</v>
      </c>
      <c r="CA24" s="46">
        <v>0.74983497869991056</v>
      </c>
      <c r="CB24" s="30">
        <f t="array" ref="CB24:CC28">LINEST(BK24:BK26,BI24:BI26,TRUE,TRUE)</f>
        <v>0.80100204547345666</v>
      </c>
      <c r="CC24" s="30">
        <v>-622.8136737365412</v>
      </c>
      <c r="CD24" s="46">
        <f t="array" ref="CD24:CE28">LINEST(BN24:BN26,BM24:BM26,TRUE,TRUE)</f>
        <v>6.6546031559770189E-6</v>
      </c>
      <c r="CE24" s="46">
        <v>0.75996265245212891</v>
      </c>
      <c r="CF24" s="30">
        <f t="array" ref="CF24:CG28">LINEST(BO24:BO26,BM24:BM26,TRUE,TRUE)</f>
        <v>0.8086019101745836</v>
      </c>
      <c r="CG24" s="30">
        <v>-1315.0858578767184</v>
      </c>
      <c r="CH24" s="46">
        <f t="array" ref="CH24:CI28">LINEST(BR24:BR26,BQ24:BQ26,TRUE,TRUE)</f>
        <v>7.6846090733685731E-6</v>
      </c>
      <c r="CI24" s="46">
        <v>0.77144323052676156</v>
      </c>
      <c r="CJ24" s="30">
        <f t="array" ref="CJ24:CK28">LINEST(BS24:BS26,BQ24:BQ26,TRUE,TRUE)</f>
        <v>0.82122032680499479</v>
      </c>
      <c r="CK24" s="30">
        <v>-2141.0823725566361</v>
      </c>
      <c r="CL24" s="46">
        <f t="array" ref="CL24:CM28">LINEST(BV24:BV26,BU24:BU26,TRUE,TRUE)</f>
        <v>1.415871441979433E-5</v>
      </c>
      <c r="CM24" s="46">
        <v>0.73764770233707855</v>
      </c>
      <c r="CN24" s="30">
        <f t="array" ref="CN24:CO28">LINEST(BW24:BW26,BU24:BU26,TRUE,TRUE)</f>
        <v>0.80708632960034943</v>
      </c>
      <c r="CO24" s="30">
        <v>-2851.2027895246333</v>
      </c>
      <c r="CQ24">
        <f>$CQ$22*BZ24+CA24</f>
        <v>0.74983497869991056</v>
      </c>
      <c r="CR24">
        <f>$CQ$22*CB24+CC24</f>
        <v>-622.8136737365412</v>
      </c>
      <c r="CT24">
        <f>CQ24*Inddata!C7+CR24</f>
        <v>3126.3612197630114</v>
      </c>
    </row>
    <row r="25" spans="2:98" x14ac:dyDescent="0.2">
      <c r="B25" s="5" t="s">
        <v>16</v>
      </c>
      <c r="C25" s="65" t="s">
        <v>0</v>
      </c>
      <c r="D25" s="66"/>
      <c r="E25" s="65" t="s">
        <v>0</v>
      </c>
      <c r="F25" s="66"/>
      <c r="G25" s="65" t="s">
        <v>0</v>
      </c>
      <c r="H25" s="66"/>
      <c r="I25" s="67" t="s">
        <v>29</v>
      </c>
      <c r="J25" s="67"/>
      <c r="K25" s="65" t="s">
        <v>29</v>
      </c>
      <c r="L25" s="66"/>
      <c r="M25" s="67" t="s">
        <v>29</v>
      </c>
      <c r="N25" s="67"/>
      <c r="O25" s="65" t="s">
        <v>1</v>
      </c>
      <c r="P25" s="66"/>
      <c r="Q25" s="65" t="s">
        <v>1</v>
      </c>
      <c r="R25" s="66"/>
      <c r="S25" s="65" t="s">
        <v>1</v>
      </c>
      <c r="T25" s="66"/>
      <c r="U25" s="65" t="s">
        <v>2</v>
      </c>
      <c r="V25" s="66"/>
      <c r="W25" s="65" t="s">
        <v>2</v>
      </c>
      <c r="X25" s="66"/>
      <c r="Y25" s="65" t="s">
        <v>2</v>
      </c>
      <c r="Z25" s="66"/>
      <c r="AA25" s="65" t="s">
        <v>0</v>
      </c>
      <c r="AB25" s="66"/>
      <c r="AC25" s="65" t="s">
        <v>29</v>
      </c>
      <c r="AD25" s="66"/>
      <c r="AE25" s="65" t="s">
        <v>1</v>
      </c>
      <c r="AF25" s="66"/>
      <c r="AG25" s="65" t="s">
        <v>2</v>
      </c>
      <c r="AH25" s="66"/>
      <c r="AJ25" s="18">
        <v>6.3535641196314782E-3</v>
      </c>
      <c r="AK25" s="19">
        <v>39.508067254604882</v>
      </c>
      <c r="AL25" s="19">
        <v>6.0609328566675153E-3</v>
      </c>
      <c r="AM25" s="19">
        <v>37.688412112972223</v>
      </c>
      <c r="AN25" s="19">
        <v>5.6670695211180899E-3</v>
      </c>
      <c r="AO25" s="19">
        <v>35.239270362449957</v>
      </c>
      <c r="AP25" s="18">
        <v>5.4603777138496727E-3</v>
      </c>
      <c r="AQ25" s="19">
        <v>33.954008473409623</v>
      </c>
      <c r="AR25" s="19">
        <v>5.2707277937800775E-3</v>
      </c>
      <c r="AS25" s="19">
        <v>32.774717345491545</v>
      </c>
      <c r="AT25" s="19">
        <v>5.5983127358656265E-3</v>
      </c>
      <c r="AU25" s="19">
        <v>34.811723296768925</v>
      </c>
      <c r="AV25" s="18">
        <v>5.1314192397217207E-3</v>
      </c>
      <c r="AW25" s="19">
        <v>31.908461552798205</v>
      </c>
      <c r="AX25" s="19">
        <v>6.2987009065553533E-3</v>
      </c>
      <c r="AY25" s="19">
        <v>39.166913931650626</v>
      </c>
      <c r="AZ25" s="19">
        <v>5.8563126109586819E-3</v>
      </c>
      <c r="BA25" s="19">
        <v>36.416031717197249</v>
      </c>
      <c r="BB25" s="18">
        <v>2.6791410821694939E-2</v>
      </c>
      <c r="BC25" s="19">
        <v>166.59576273398292</v>
      </c>
      <c r="BD25" s="19">
        <v>2.0006795862235454E-2</v>
      </c>
      <c r="BE25" s="19">
        <v>124.40731242989264</v>
      </c>
      <c r="BF25" s="19">
        <v>1.28640703433003E-2</v>
      </c>
      <c r="BG25" s="19">
        <v>79.992040171706847</v>
      </c>
      <c r="BI25">
        <v>8000</v>
      </c>
      <c r="BJ25">
        <f>AL24</f>
        <v>0.8046792530964143</v>
      </c>
      <c r="BK25">
        <f>AM24</f>
        <v>5774.303836615949</v>
      </c>
      <c r="BM25">
        <v>8000</v>
      </c>
      <c r="BN25">
        <f>AR24</f>
        <v>0.81281657556966702</v>
      </c>
      <c r="BO25">
        <f>AS24</f>
        <v>5146.8643975556752</v>
      </c>
      <c r="BQ25">
        <v>8000</v>
      </c>
      <c r="BR25">
        <f>AX24</f>
        <v>0.83285160249450063</v>
      </c>
      <c r="BS25">
        <f>AY24</f>
        <v>4419.0569568015135</v>
      </c>
      <c r="BU25">
        <v>8000</v>
      </c>
      <c r="BV25">
        <f>BD24</f>
        <v>0.85175227783490115</v>
      </c>
      <c r="BW25">
        <f>BE24</f>
        <v>3589.0756555135886</v>
      </c>
      <c r="BZ25">
        <v>1.6576530555489237E-7</v>
      </c>
      <c r="CA25">
        <v>1.3534680522200942E-3</v>
      </c>
      <c r="CB25">
        <v>4.7193419734868763E-3</v>
      </c>
      <c r="CC25">
        <v>38.533265855807414</v>
      </c>
      <c r="CD25">
        <v>1.6580148599200791E-7</v>
      </c>
      <c r="CE25">
        <v>1.3537634642521073E-3</v>
      </c>
      <c r="CF25">
        <v>2.9726434413510916E-3</v>
      </c>
      <c r="CG25">
        <v>24.271532061803956</v>
      </c>
      <c r="CH25">
        <v>2.9661638205156487E-8</v>
      </c>
      <c r="CI25">
        <v>2.4218626179225484E-4</v>
      </c>
      <c r="CJ25">
        <v>4.1670046743526798E-3</v>
      </c>
      <c r="CK25">
        <v>34.023450693188153</v>
      </c>
      <c r="CL25">
        <v>3.6150504469313456E-7</v>
      </c>
      <c r="CM25">
        <v>2.9516763298006914E-3</v>
      </c>
      <c r="CN25">
        <v>7.1066874999513793E-3</v>
      </c>
      <c r="CO25">
        <v>58.025860454321105</v>
      </c>
      <c r="CQ25">
        <f>IF(AND(Inddata!Z11=3,Inddata!AA11=1),$CQ$22*BZ24+CA24,IF(AND(Inddata!Z11=3,Inddata!AA11=2),$CQ$22*CD24+CE24,IF(AND(Inddata!Z11=3,Inddata!AA11=3),$CQ$22*CH24+CI24,IF(AND(Inddata!Z11=3,Inddata!AA11=4),$CQ$22*CL24+CM24))))</f>
        <v>0.74983497869991056</v>
      </c>
      <c r="CR25">
        <f>IF(AND(Inddata!Z11=3,Inddata!AA11=1),$CQ$22*CB24+CC24,IF(AND(Inddata!Z11=3,Inddata!AA11=2),$CQ$22*CF24+CG24,IF(AND(Inddata!Z11=3,Inddata!AA11=3),$CQ$22*CJ24+CK24,IF(AND(Inddata!Z11=3,Inddata!AA11=4),$CQ$22*CN24+CO24))))</f>
        <v>-622.8136737365412</v>
      </c>
      <c r="CT25">
        <f>CQ25*Inddata!C7+CR25</f>
        <v>3126.3612197630114</v>
      </c>
    </row>
    <row r="26" spans="2:98" x14ac:dyDescent="0.2">
      <c r="B26" s="4" t="s">
        <v>33</v>
      </c>
      <c r="C26" s="62" t="s">
        <v>30</v>
      </c>
      <c r="D26" s="63"/>
      <c r="E26" s="62" t="s">
        <v>31</v>
      </c>
      <c r="F26" s="63"/>
      <c r="G26" s="62" t="s">
        <v>32</v>
      </c>
      <c r="H26" s="63"/>
      <c r="I26" s="64" t="s">
        <v>30</v>
      </c>
      <c r="J26" s="64"/>
      <c r="K26" s="62" t="s">
        <v>31</v>
      </c>
      <c r="L26" s="63"/>
      <c r="M26" s="64" t="s">
        <v>32</v>
      </c>
      <c r="N26" s="64"/>
      <c r="O26" s="62" t="s">
        <v>30</v>
      </c>
      <c r="P26" s="63"/>
      <c r="Q26" s="62" t="s">
        <v>31</v>
      </c>
      <c r="R26" s="63"/>
      <c r="S26" s="62" t="s">
        <v>32</v>
      </c>
      <c r="T26" s="63"/>
      <c r="U26" s="62" t="s">
        <v>30</v>
      </c>
      <c r="V26" s="63"/>
      <c r="W26" s="62" t="s">
        <v>31</v>
      </c>
      <c r="X26" s="63"/>
      <c r="Y26" s="62" t="s">
        <v>32</v>
      </c>
      <c r="Z26" s="63"/>
      <c r="AA26" s="62" t="s">
        <v>0</v>
      </c>
      <c r="AB26" s="63"/>
      <c r="AC26" s="62" t="s">
        <v>29</v>
      </c>
      <c r="AD26" s="63"/>
      <c r="AE26" s="62" t="s">
        <v>1</v>
      </c>
      <c r="AF26" s="63"/>
      <c r="AG26" s="62" t="s">
        <v>2</v>
      </c>
      <c r="AH26" s="63"/>
      <c r="AJ26" s="18">
        <v>0.99993540269632586</v>
      </c>
      <c r="AK26" s="19">
        <v>17.970593094779815</v>
      </c>
      <c r="AL26" s="19">
        <v>0.99994327053347598</v>
      </c>
      <c r="AM26" s="19">
        <v>17.14290689306381</v>
      </c>
      <c r="AN26" s="19">
        <v>0.99995197287727888</v>
      </c>
      <c r="AO26" s="19">
        <v>16.028893151352804</v>
      </c>
      <c r="AP26" s="18">
        <v>0.99995342461596792</v>
      </c>
      <c r="AQ26" s="19">
        <v>15.444280437212001</v>
      </c>
      <c r="AR26" s="19">
        <v>0.99995795272927501</v>
      </c>
      <c r="AS26" s="19">
        <v>14.907869459081212</v>
      </c>
      <c r="AT26" s="19">
        <v>0.99995414376668035</v>
      </c>
      <c r="AU26" s="19">
        <v>15.834419594934388</v>
      </c>
      <c r="AV26" s="18">
        <v>0.99996060946174692</v>
      </c>
      <c r="AW26" s="19">
        <v>14.513845366073383</v>
      </c>
      <c r="AX26" s="19">
        <v>0.99994280713109907</v>
      </c>
      <c r="AY26" s="19">
        <v>17.815416494764577</v>
      </c>
      <c r="AZ26" s="19">
        <v>0.99995234541002964</v>
      </c>
      <c r="BA26" s="19">
        <v>16.564153439828715</v>
      </c>
      <c r="BB26" s="18">
        <v>0.99893929712367724</v>
      </c>
      <c r="BC26" s="19">
        <v>75.777553078300571</v>
      </c>
      <c r="BD26" s="19">
        <v>0.9994485718583821</v>
      </c>
      <c r="BE26" s="19">
        <v>56.587764096006595</v>
      </c>
      <c r="BF26" s="19">
        <v>0.99978577682282621</v>
      </c>
      <c r="BG26" s="19">
        <v>36.385085493633596</v>
      </c>
      <c r="BI26">
        <v>10000</v>
      </c>
      <c r="BJ26">
        <f>AN24</f>
        <v>0.81772038918904932</v>
      </c>
      <c r="BK26">
        <f>AO24</f>
        <v>7392.6562077156059</v>
      </c>
      <c r="BM26">
        <v>10000</v>
      </c>
      <c r="BN26">
        <f>AT24</f>
        <v>0.82670013507703821</v>
      </c>
      <c r="BO26">
        <f>AU24</f>
        <v>6774.3657568512554</v>
      </c>
      <c r="BQ26">
        <v>10000</v>
      </c>
      <c r="BR26">
        <f>AZ24</f>
        <v>0.84832357157005189</v>
      </c>
      <c r="BS26">
        <f>BA24</f>
        <v>6075.9325380342152</v>
      </c>
      <c r="BU26">
        <v>10000</v>
      </c>
      <c r="BV26">
        <f>BF24</f>
        <v>0.87881741646528788</v>
      </c>
      <c r="BW26">
        <f>BG24</f>
        <v>5227.8666023611486</v>
      </c>
      <c r="BZ26">
        <v>0.99940744135711279</v>
      </c>
      <c r="CA26">
        <v>4.688550865732978E-4</v>
      </c>
      <c r="CB26">
        <v>0.99996528792535788</v>
      </c>
      <c r="CC26">
        <v>13.348314848763494</v>
      </c>
      <c r="CD26">
        <v>0.99937961255618091</v>
      </c>
      <c r="CE26">
        <v>4.6895742030302057E-4</v>
      </c>
      <c r="CF26">
        <v>0.9999864851806487</v>
      </c>
      <c r="CG26">
        <v>8.4079053417162868</v>
      </c>
      <c r="CH26">
        <v>0.9999851015791571</v>
      </c>
      <c r="CI26">
        <v>8.3895782063872493E-5</v>
      </c>
      <c r="CJ26">
        <v>0.99997425354662106</v>
      </c>
      <c r="CK26">
        <v>11.786069049883281</v>
      </c>
      <c r="CL26">
        <v>0.9993485245485112</v>
      </c>
      <c r="CM26">
        <v>1.0224906741426454E-3</v>
      </c>
      <c r="CN26">
        <v>0.99992247160674674</v>
      </c>
      <c r="CO26">
        <v>20.100747691957167</v>
      </c>
    </row>
    <row r="27" spans="2:98" x14ac:dyDescent="0.2">
      <c r="B27" s="5">
        <v>4000</v>
      </c>
      <c r="C27" s="6">
        <v>3694.7844694853457</v>
      </c>
      <c r="D27" s="7">
        <v>7357.9431348448097</v>
      </c>
      <c r="E27" s="37">
        <v>3373.6708305505299</v>
      </c>
      <c r="F27" s="37">
        <v>9000.0194114342812</v>
      </c>
      <c r="G27" s="6">
        <v>3080.5430362882216</v>
      </c>
      <c r="H27" s="7">
        <v>10670.081532698872</v>
      </c>
      <c r="I27" s="37">
        <v>3085.4314416921056</v>
      </c>
      <c r="J27" s="37">
        <v>6746.5901070513801</v>
      </c>
      <c r="K27" s="6">
        <v>2779.8682311709813</v>
      </c>
      <c r="L27" s="7">
        <v>8404.2168120554725</v>
      </c>
      <c r="M27" s="37">
        <v>2500.0921754790907</v>
      </c>
      <c r="N27" s="37">
        <v>10087.630671889528</v>
      </c>
      <c r="O27" s="6">
        <v>2409.1583591206895</v>
      </c>
      <c r="P27" s="7">
        <v>6067.3170244793037</v>
      </c>
      <c r="Q27" s="6">
        <v>2136.3878992228556</v>
      </c>
      <c r="R27" s="7">
        <v>7757.7364801074064</v>
      </c>
      <c r="S27" s="6">
        <v>1891.4506152280121</v>
      </c>
      <c r="T27" s="7">
        <v>9475.9891116392155</v>
      </c>
      <c r="U27" s="6">
        <v>1666.0289102451643</v>
      </c>
      <c r="V27" s="7">
        <v>5319.1875756039444</v>
      </c>
      <c r="W27" s="6">
        <v>1402.8380439219056</v>
      </c>
      <c r="X27" s="7">
        <v>7019.1866248065608</v>
      </c>
      <c r="Y27" s="6">
        <v>1178.4519207619082</v>
      </c>
      <c r="Z27" s="7">
        <v>8757.9904171734579</v>
      </c>
      <c r="AA27" s="6"/>
      <c r="AB27" s="16"/>
      <c r="AC27" s="6"/>
      <c r="AD27" s="16"/>
      <c r="AE27" s="6"/>
      <c r="AF27" s="16"/>
      <c r="AG27" s="6"/>
      <c r="AH27" s="16"/>
      <c r="AJ27" s="18">
        <v>15479.52229926558</v>
      </c>
      <c r="AK27" s="19">
        <v>1</v>
      </c>
      <c r="AL27" s="19">
        <v>17626.523424272582</v>
      </c>
      <c r="AM27" s="19">
        <v>1</v>
      </c>
      <c r="AN27" s="19">
        <v>20820.567967068226</v>
      </c>
      <c r="AO27" s="19">
        <v>1</v>
      </c>
      <c r="AP27" s="18">
        <v>21469.56907376313</v>
      </c>
      <c r="AQ27" s="19">
        <v>1</v>
      </c>
      <c r="AR27" s="19">
        <v>23781.756472813042</v>
      </c>
      <c r="AS27" s="19">
        <v>1</v>
      </c>
      <c r="AT27" s="19">
        <v>21806.286111571906</v>
      </c>
      <c r="AU27" s="19">
        <v>1</v>
      </c>
      <c r="AV27" s="18">
        <v>25385.807196543632</v>
      </c>
      <c r="AW27" s="19">
        <v>1</v>
      </c>
      <c r="AX27" s="19">
        <v>17483.697292109176</v>
      </c>
      <c r="AY27" s="19">
        <v>1</v>
      </c>
      <c r="AZ27" s="19">
        <v>20983.337513419872</v>
      </c>
      <c r="BA27" s="19">
        <v>1</v>
      </c>
      <c r="BB27" s="18">
        <v>941.77108351657785</v>
      </c>
      <c r="BC27" s="19">
        <v>1</v>
      </c>
      <c r="BD27" s="19">
        <v>1812.4729161010641</v>
      </c>
      <c r="BE27" s="19">
        <v>1</v>
      </c>
      <c r="BF27" s="19">
        <v>4667.0289835724043</v>
      </c>
      <c r="BG27" s="19">
        <v>1</v>
      </c>
      <c r="BZ27">
        <v>1686.5966826297056</v>
      </c>
      <c r="CA27">
        <v>1</v>
      </c>
      <c r="CB27">
        <v>28807.419269339531</v>
      </c>
      <c r="CC27">
        <v>1</v>
      </c>
      <c r="CD27">
        <v>1610.8959369069803</v>
      </c>
      <c r="CE27">
        <v>1</v>
      </c>
      <c r="CF27">
        <v>73991.849923659393</v>
      </c>
      <c r="CG27">
        <v>1</v>
      </c>
      <c r="CH27">
        <v>67120.207713356474</v>
      </c>
      <c r="CI27">
        <v>1</v>
      </c>
      <c r="CJ27">
        <v>38839.301042001433</v>
      </c>
      <c r="CK27">
        <v>1</v>
      </c>
      <c r="CL27">
        <v>1533.9772546528861</v>
      </c>
      <c r="CM27">
        <v>1</v>
      </c>
      <c r="CN27">
        <v>12897.50025309308</v>
      </c>
      <c r="CO27">
        <v>1</v>
      </c>
    </row>
    <row r="28" spans="2:98" x14ac:dyDescent="0.2">
      <c r="B28" s="5">
        <v>6000</v>
      </c>
      <c r="C28" s="6">
        <v>3239.2623681949285</v>
      </c>
      <c r="D28" s="7">
        <v>8916.9130656728448</v>
      </c>
      <c r="E28" s="37">
        <v>2947.5416173246763</v>
      </c>
      <c r="F28" s="37">
        <v>10588.382230329085</v>
      </c>
      <c r="G28" s="6">
        <v>2681.8604778664103</v>
      </c>
      <c r="H28" s="7">
        <v>12285.891006395766</v>
      </c>
      <c r="I28" s="37">
        <v>2652.1875512216748</v>
      </c>
      <c r="J28" s="37">
        <v>8327.8382486998307</v>
      </c>
      <c r="K28" s="6">
        <v>2372.7510135264938</v>
      </c>
      <c r="L28" s="7">
        <v>10011.591626531421</v>
      </c>
      <c r="M28" s="37">
        <v>2119.6072893237451</v>
      </c>
      <c r="N28" s="37">
        <v>11721.637817853245</v>
      </c>
      <c r="O28" s="6">
        <v>2012.0608398774721</v>
      </c>
      <c r="P28" s="7">
        <v>7684.7115373561892</v>
      </c>
      <c r="Q28" s="6">
        <v>1765.7797321082951</v>
      </c>
      <c r="R28" s="7">
        <v>9401.6203451127385</v>
      </c>
      <c r="S28" s="6">
        <v>1553.3188642754565</v>
      </c>
      <c r="T28" s="7">
        <v>11152.349392804945</v>
      </c>
      <c r="U28" s="6">
        <v>1203.0938261981994</v>
      </c>
      <c r="V28" s="7">
        <v>6870.7445236769117</v>
      </c>
      <c r="W28" s="6">
        <v>1022.5449936125111</v>
      </c>
      <c r="X28" s="7">
        <v>8653.3856066162607</v>
      </c>
      <c r="Y28" s="6">
        <v>877.03227472086871</v>
      </c>
      <c r="Z28" s="7">
        <v>10471.062803250561</v>
      </c>
      <c r="AA28" s="6"/>
      <c r="AB28" s="16"/>
      <c r="AC28" s="6"/>
      <c r="AD28" s="16"/>
      <c r="AE28" s="6"/>
      <c r="AF28" s="16"/>
      <c r="AG28" s="6"/>
      <c r="AH28" s="16"/>
      <c r="AJ28" s="18">
        <v>4998991.2367038876</v>
      </c>
      <c r="AK28" s="19">
        <v>322.94221617814799</v>
      </c>
      <c r="AL28" s="19">
        <v>5180069.6029104218</v>
      </c>
      <c r="AM28" s="19">
        <v>293.87925674425469</v>
      </c>
      <c r="AN28" s="19">
        <v>5349333.0791639183</v>
      </c>
      <c r="AO28" s="19">
        <v>256.92541565748485</v>
      </c>
      <c r="AP28" s="18">
        <v>5121046.1008285386</v>
      </c>
      <c r="AQ28" s="19">
        <v>238.52579822324932</v>
      </c>
      <c r="AR28" s="19">
        <v>5285366.2841663994</v>
      </c>
      <c r="AS28" s="19">
        <v>222.24457180900635</v>
      </c>
      <c r="AT28" s="19">
        <v>5467464.9066911414</v>
      </c>
      <c r="AU28" s="19">
        <v>250.72884390844212</v>
      </c>
      <c r="AV28" s="18">
        <v>5347563.627401758</v>
      </c>
      <c r="AW28" s="19">
        <v>210.65170731028982</v>
      </c>
      <c r="AX28" s="19">
        <v>5549134.3342212588</v>
      </c>
      <c r="AY28" s="19">
        <v>317.38906488192976</v>
      </c>
      <c r="AZ28" s="19">
        <v>5757223.0566509478</v>
      </c>
      <c r="BA28" s="19">
        <v>274.37117917818944</v>
      </c>
      <c r="BB28" s="18">
        <v>5407873.2797766067</v>
      </c>
      <c r="BC28" s="19">
        <v>5742.2375505346599</v>
      </c>
      <c r="BD28" s="19">
        <v>5803855.5423755394</v>
      </c>
      <c r="BE28" s="19">
        <v>3202.1750453852928</v>
      </c>
      <c r="BF28" s="19">
        <v>6178560.4118617848</v>
      </c>
      <c r="BG28" s="19">
        <v>1323.874446379026</v>
      </c>
      <c r="BZ28">
        <v>3.7075627127282617E-4</v>
      </c>
      <c r="CA28">
        <v>2.1982509220565458E-7</v>
      </c>
      <c r="CB28">
        <v>5132834.2148212912</v>
      </c>
      <c r="CC28">
        <v>178.17750930171997</v>
      </c>
      <c r="CD28">
        <v>3.5426994530831426E-4</v>
      </c>
      <c r="CE28">
        <v>2.1992106205726389E-7</v>
      </c>
      <c r="CF28">
        <v>5230696.3931038789</v>
      </c>
      <c r="CG28">
        <v>70.692872235261262</v>
      </c>
      <c r="CH28">
        <v>4.7242573288398842E-4</v>
      </c>
      <c r="CI28">
        <v>7.0385022481087892E-9</v>
      </c>
      <c r="CJ28">
        <v>5395222.6012616167</v>
      </c>
      <c r="CK28">
        <v>138.91142364861659</v>
      </c>
      <c r="CL28">
        <v>1.6037535521703345E-3</v>
      </c>
      <c r="CM28">
        <v>1.0454871787086814E-6</v>
      </c>
      <c r="CN28">
        <v>5211106.7474221094</v>
      </c>
      <c r="CO28">
        <v>404.04005777572138</v>
      </c>
    </row>
    <row r="29" spans="2:98" x14ac:dyDescent="0.2">
      <c r="B29" s="4">
        <v>8000</v>
      </c>
      <c r="C29" s="8">
        <v>2827.7590503591623</v>
      </c>
      <c r="D29" s="9">
        <v>10519.901779958274</v>
      </c>
      <c r="E29" s="38">
        <v>2563.4037786983176</v>
      </c>
      <c r="F29" s="38">
        <v>12218.736423819937</v>
      </c>
      <c r="G29" s="8">
        <v>2322.4405288124262</v>
      </c>
      <c r="H29" s="9">
        <v>13940.963089455068</v>
      </c>
      <c r="I29" s="38">
        <v>2256.7742672653171</v>
      </c>
      <c r="J29" s="38">
        <v>9946.9169968638998</v>
      </c>
      <c r="K29" s="8">
        <v>2002.1504692128942</v>
      </c>
      <c r="L29" s="9">
        <v>11655.48311433414</v>
      </c>
      <c r="M29" s="38">
        <v>1777.9086515555678</v>
      </c>
      <c r="N29" s="38">
        <v>13394.43121219768</v>
      </c>
      <c r="O29" s="8">
        <v>1650.5148359878719</v>
      </c>
      <c r="P29" s="9">
        <v>9337.6575655856141</v>
      </c>
      <c r="Q29" s="8">
        <v>1438.810244963697</v>
      </c>
      <c r="R29" s="9">
        <v>11089.142890085408</v>
      </c>
      <c r="S29" s="8">
        <v>1255.760837276862</v>
      </c>
      <c r="T29" s="9">
        <v>12869.283397919422</v>
      </c>
      <c r="U29" s="8">
        <v>925.77508115126409</v>
      </c>
      <c r="V29" s="9">
        <v>8607.9178107483858</v>
      </c>
      <c r="W29" s="8">
        <v>780.86309102498035</v>
      </c>
      <c r="X29" s="9">
        <v>10426.195736146165</v>
      </c>
      <c r="Y29" s="8">
        <v>664.73752239126077</v>
      </c>
      <c r="Z29" s="9">
        <v>12273.260083034609</v>
      </c>
      <c r="AA29" s="8"/>
      <c r="AB29" s="14"/>
      <c r="AC29" s="8"/>
      <c r="AD29" s="14"/>
      <c r="AE29" s="8"/>
      <c r="AF29" s="14"/>
      <c r="AG29" s="8"/>
      <c r="AH29" s="14"/>
      <c r="AJ29" s="13"/>
      <c r="AK29" s="20"/>
      <c r="AL29" s="20"/>
      <c r="AM29" s="20"/>
      <c r="AN29" s="20"/>
      <c r="AO29" s="20"/>
      <c r="AP29" s="13"/>
      <c r="AQ29" s="20"/>
      <c r="AR29" s="20"/>
      <c r="AS29" s="20"/>
      <c r="AT29" s="20"/>
      <c r="AU29" s="20"/>
      <c r="AV29" s="13"/>
      <c r="AW29" s="20"/>
      <c r="AX29" s="20"/>
      <c r="AY29" s="20"/>
      <c r="AZ29" s="20"/>
      <c r="BA29" s="20"/>
      <c r="BB29" s="13"/>
      <c r="BC29" s="20"/>
      <c r="BD29" s="20"/>
      <c r="BE29" s="20"/>
      <c r="BF29" s="20"/>
      <c r="BG29" s="14"/>
    </row>
    <row r="31" spans="2:98" x14ac:dyDescent="0.2">
      <c r="CT31" s="50">
        <f>IF(Inddata!Z11=1,CT4,IF(Inddata!Z11=2,CT14,IF(Inddata!Z11=3,CT24)))</f>
        <v>3126.3612197630114</v>
      </c>
    </row>
    <row r="32" spans="2:98" x14ac:dyDescent="0.2">
      <c r="CT32" s="48">
        <f>CT5+CT15+CT25</f>
        <v>3126.3612197630114</v>
      </c>
    </row>
  </sheetData>
  <mergeCells count="96">
    <mergeCell ref="AA26:AB26"/>
    <mergeCell ref="AC26:AD26"/>
    <mergeCell ref="AE26:AF26"/>
    <mergeCell ref="AG26:AH26"/>
    <mergeCell ref="O26:P26"/>
    <mergeCell ref="Q26:R26"/>
    <mergeCell ref="S26:T26"/>
    <mergeCell ref="U26:V26"/>
    <mergeCell ref="W26:X26"/>
    <mergeCell ref="Y26:Z26"/>
    <mergeCell ref="AA25:AB25"/>
    <mergeCell ref="AC25:AD25"/>
    <mergeCell ref="AE25:AF25"/>
    <mergeCell ref="AG25:AH25"/>
    <mergeCell ref="C26:D26"/>
    <mergeCell ref="E26:F26"/>
    <mergeCell ref="G26:H26"/>
    <mergeCell ref="I26:J26"/>
    <mergeCell ref="K26:L26"/>
    <mergeCell ref="M26:N26"/>
    <mergeCell ref="O25:P25"/>
    <mergeCell ref="Q25:R25"/>
    <mergeCell ref="S25:T25"/>
    <mergeCell ref="U25:V25"/>
    <mergeCell ref="W25:X25"/>
    <mergeCell ref="Y25:Z25"/>
    <mergeCell ref="AA16:AB16"/>
    <mergeCell ref="AC16:AD16"/>
    <mergeCell ref="AE16:AF16"/>
    <mergeCell ref="AG16:AH16"/>
    <mergeCell ref="C25:D25"/>
    <mergeCell ref="E25:F25"/>
    <mergeCell ref="G25:H25"/>
    <mergeCell ref="I25:J25"/>
    <mergeCell ref="K25:L25"/>
    <mergeCell ref="M25:N25"/>
    <mergeCell ref="O16:P16"/>
    <mergeCell ref="Q16:R16"/>
    <mergeCell ref="S16:T16"/>
    <mergeCell ref="U16:V16"/>
    <mergeCell ref="W16:X16"/>
    <mergeCell ref="Y16:Z16"/>
    <mergeCell ref="AA15:AB15"/>
    <mergeCell ref="AC15:AD15"/>
    <mergeCell ref="AE15:AF15"/>
    <mergeCell ref="AG15:AH15"/>
    <mergeCell ref="C16:D16"/>
    <mergeCell ref="E16:F16"/>
    <mergeCell ref="G16:H16"/>
    <mergeCell ref="I16:J16"/>
    <mergeCell ref="K16:L16"/>
    <mergeCell ref="M16:N16"/>
    <mergeCell ref="O15:P15"/>
    <mergeCell ref="Q15:R15"/>
    <mergeCell ref="S15:T15"/>
    <mergeCell ref="U15:V15"/>
    <mergeCell ref="W15:X15"/>
    <mergeCell ref="Y15:Z15"/>
    <mergeCell ref="AA6:AB6"/>
    <mergeCell ref="AC6:AD6"/>
    <mergeCell ref="AE6:AF6"/>
    <mergeCell ref="AG6:AH6"/>
    <mergeCell ref="C15:D15"/>
    <mergeCell ref="E15:F15"/>
    <mergeCell ref="G15:H15"/>
    <mergeCell ref="I15:J15"/>
    <mergeCell ref="K15:L15"/>
    <mergeCell ref="M15:N15"/>
    <mergeCell ref="O6:P6"/>
    <mergeCell ref="Q6:R6"/>
    <mergeCell ref="S6:T6"/>
    <mergeCell ref="U6:V6"/>
    <mergeCell ref="W6:X6"/>
    <mergeCell ref="Y6:Z6"/>
    <mergeCell ref="AA5:AB5"/>
    <mergeCell ref="AC5:AD5"/>
    <mergeCell ref="AE5:AF5"/>
    <mergeCell ref="AG5:AH5"/>
    <mergeCell ref="C6:D6"/>
    <mergeCell ref="E6:F6"/>
    <mergeCell ref="G6:H6"/>
    <mergeCell ref="I6:J6"/>
    <mergeCell ref="K6:L6"/>
    <mergeCell ref="M6:N6"/>
    <mergeCell ref="O5:P5"/>
    <mergeCell ref="Q5:R5"/>
    <mergeCell ref="S5:T5"/>
    <mergeCell ref="U5:V5"/>
    <mergeCell ref="W5:X5"/>
    <mergeCell ref="Y5:Z5"/>
    <mergeCell ref="M5:N5"/>
    <mergeCell ref="C5:D5"/>
    <mergeCell ref="E5:F5"/>
    <mergeCell ref="G5:H5"/>
    <mergeCell ref="I5:J5"/>
    <mergeCell ref="K5:L5"/>
  </mergeCells>
  <conditionalFormatting sqref="AJ3:AK3">
    <cfRule type="duplicateValues" dxfId="38" priority="39"/>
  </conditionalFormatting>
  <conditionalFormatting sqref="AR3:AS3">
    <cfRule type="duplicateValues" dxfId="37" priority="38"/>
  </conditionalFormatting>
  <conditionalFormatting sqref="AV3:AW3">
    <cfRule type="duplicateValues" dxfId="36" priority="37"/>
  </conditionalFormatting>
  <conditionalFormatting sqref="AN3:AO3">
    <cfRule type="duplicateValues" dxfId="35" priority="36"/>
  </conditionalFormatting>
  <conditionalFormatting sqref="AM3">
    <cfRule type="duplicateValues" dxfId="34" priority="35"/>
  </conditionalFormatting>
  <conditionalFormatting sqref="AL3">
    <cfRule type="duplicateValues" dxfId="33" priority="34"/>
  </conditionalFormatting>
  <conditionalFormatting sqref="AP3">
    <cfRule type="duplicateValues" dxfId="32" priority="33"/>
  </conditionalFormatting>
  <conditionalFormatting sqref="AT3">
    <cfRule type="duplicateValues" dxfId="31" priority="32"/>
  </conditionalFormatting>
  <conditionalFormatting sqref="AX3">
    <cfRule type="duplicateValues" dxfId="30" priority="31"/>
  </conditionalFormatting>
  <conditionalFormatting sqref="AZ3:BA3">
    <cfRule type="duplicateValues" dxfId="29" priority="30"/>
  </conditionalFormatting>
  <conditionalFormatting sqref="BB3:BC3">
    <cfRule type="duplicateValues" dxfId="28" priority="29"/>
  </conditionalFormatting>
  <conditionalFormatting sqref="BD3:BE3">
    <cfRule type="duplicateValues" dxfId="27" priority="28"/>
  </conditionalFormatting>
  <conditionalFormatting sqref="BF3:BG3">
    <cfRule type="duplicateValues" dxfId="26" priority="27"/>
  </conditionalFormatting>
  <conditionalFormatting sqref="AJ13:AK13">
    <cfRule type="duplicateValues" dxfId="25" priority="26"/>
  </conditionalFormatting>
  <conditionalFormatting sqref="AR13:AS13">
    <cfRule type="duplicateValues" dxfId="24" priority="25"/>
  </conditionalFormatting>
  <conditionalFormatting sqref="AV13:AW13">
    <cfRule type="duplicateValues" dxfId="23" priority="24"/>
  </conditionalFormatting>
  <conditionalFormatting sqref="AN13:AO13">
    <cfRule type="duplicateValues" dxfId="22" priority="23"/>
  </conditionalFormatting>
  <conditionalFormatting sqref="AM13">
    <cfRule type="duplicateValues" dxfId="21" priority="22"/>
  </conditionalFormatting>
  <conditionalFormatting sqref="AL13">
    <cfRule type="duplicateValues" dxfId="20" priority="21"/>
  </conditionalFormatting>
  <conditionalFormatting sqref="AP13">
    <cfRule type="duplicateValues" dxfId="19" priority="20"/>
  </conditionalFormatting>
  <conditionalFormatting sqref="AT13">
    <cfRule type="duplicateValues" dxfId="18" priority="19"/>
  </conditionalFormatting>
  <conditionalFormatting sqref="AX13">
    <cfRule type="duplicateValues" dxfId="17" priority="18"/>
  </conditionalFormatting>
  <conditionalFormatting sqref="AZ13:BA13">
    <cfRule type="duplicateValues" dxfId="16" priority="17"/>
  </conditionalFormatting>
  <conditionalFormatting sqref="BB13:BC13">
    <cfRule type="duplicateValues" dxfId="15" priority="16"/>
  </conditionalFormatting>
  <conditionalFormatting sqref="BD13:BE13">
    <cfRule type="duplicateValues" dxfId="14" priority="15"/>
  </conditionalFormatting>
  <conditionalFormatting sqref="BF13:BG13">
    <cfRule type="duplicateValues" dxfId="13" priority="14"/>
  </conditionalFormatting>
  <conditionalFormatting sqref="AJ23:AK23">
    <cfRule type="duplicateValues" dxfId="12" priority="13"/>
  </conditionalFormatting>
  <conditionalFormatting sqref="AR23:AS23">
    <cfRule type="duplicateValues" dxfId="11" priority="12"/>
  </conditionalFormatting>
  <conditionalFormatting sqref="AV23:AW23">
    <cfRule type="duplicateValues" dxfId="10" priority="11"/>
  </conditionalFormatting>
  <conditionalFormatting sqref="AN23:AO23">
    <cfRule type="duplicateValues" dxfId="9" priority="10"/>
  </conditionalFormatting>
  <conditionalFormatting sqref="AM23">
    <cfRule type="duplicateValues" dxfId="8" priority="9"/>
  </conditionalFormatting>
  <conditionalFormatting sqref="AL23">
    <cfRule type="duplicateValues" dxfId="7" priority="8"/>
  </conditionalFormatting>
  <conditionalFormatting sqref="AP23">
    <cfRule type="duplicateValues" dxfId="6" priority="7"/>
  </conditionalFormatting>
  <conditionalFormatting sqref="AT23">
    <cfRule type="duplicateValues" dxfId="5" priority="6"/>
  </conditionalFormatting>
  <conditionalFormatting sqref="AX23">
    <cfRule type="duplicateValues" dxfId="4" priority="5"/>
  </conditionalFormatting>
  <conditionalFormatting sqref="AZ23:BA23">
    <cfRule type="duplicateValues" dxfId="3" priority="4"/>
  </conditionalFormatting>
  <conditionalFormatting sqref="BB23:BC23">
    <cfRule type="duplicateValues" dxfId="2" priority="3"/>
  </conditionalFormatting>
  <conditionalFormatting sqref="BD23:BE23">
    <cfRule type="duplicateValues" dxfId="1" priority="2"/>
  </conditionalFormatting>
  <conditionalFormatting sqref="BF23:BG23">
    <cfRule type="duplicateValues" dxfId="0" priority="1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P116"/>
  <sheetViews>
    <sheetView workbookViewId="0"/>
  </sheetViews>
  <sheetFormatPr defaultRowHeight="12.75" x14ac:dyDescent="0.2"/>
  <cols>
    <col min="1" max="1" width="3.625" customWidth="1"/>
    <col min="8" max="8" width="11.875" bestFit="1" customWidth="1"/>
    <col min="9" max="11" width="9.125" bestFit="1" customWidth="1"/>
  </cols>
  <sheetData>
    <row r="2" spans="2:13" x14ac:dyDescent="0.2">
      <c r="B2" t="s">
        <v>8</v>
      </c>
      <c r="C2" t="s">
        <v>16</v>
      </c>
      <c r="D2" t="s">
        <v>33</v>
      </c>
      <c r="E2" t="s">
        <v>5</v>
      </c>
      <c r="F2" t="s">
        <v>63</v>
      </c>
      <c r="H2" t="s">
        <v>34</v>
      </c>
    </row>
    <row r="3" spans="2:13" ht="13.5" thickBot="1" x14ac:dyDescent="0.25">
      <c r="B3" s="19">
        <v>4000</v>
      </c>
      <c r="C3">
        <v>0</v>
      </c>
      <c r="D3">
        <v>6000</v>
      </c>
      <c r="E3" s="37">
        <v>1130.6478055446007</v>
      </c>
      <c r="F3">
        <f>$I$19*B3+$I$20*C3+$I$21*D3+$I$18</f>
        <v>753.99116713520095</v>
      </c>
    </row>
    <row r="4" spans="2:13" x14ac:dyDescent="0.2">
      <c r="B4" s="19">
        <v>6000</v>
      </c>
      <c r="C4">
        <v>0</v>
      </c>
      <c r="D4">
        <v>6000</v>
      </c>
      <c r="E4" s="37">
        <v>822.67819796533684</v>
      </c>
      <c r="F4">
        <f t="shared" ref="F4:F38" si="0">$I$19*B4+$I$20*C4+$I$21*D4+$I$18</f>
        <v>624.47298487681837</v>
      </c>
      <c r="H4" s="43" t="s">
        <v>35</v>
      </c>
      <c r="I4" s="43"/>
    </row>
    <row r="5" spans="2:13" x14ac:dyDescent="0.2">
      <c r="B5" s="19">
        <v>8000</v>
      </c>
      <c r="C5">
        <v>0</v>
      </c>
      <c r="D5">
        <v>6000</v>
      </c>
      <c r="E5" s="37">
        <v>578.20037366107999</v>
      </c>
      <c r="F5">
        <f t="shared" si="0"/>
        <v>494.95480261843568</v>
      </c>
      <c r="H5" s="40" t="s">
        <v>36</v>
      </c>
      <c r="I5" s="40">
        <v>0.87377113790950856</v>
      </c>
    </row>
    <row r="6" spans="2:13" x14ac:dyDescent="0.2">
      <c r="B6" s="19">
        <v>4000</v>
      </c>
      <c r="C6">
        <v>0</v>
      </c>
      <c r="D6">
        <v>8000</v>
      </c>
      <c r="E6" s="37">
        <v>937.68439228959585</v>
      </c>
      <c r="F6">
        <f t="shared" si="0"/>
        <v>686.86643174012181</v>
      </c>
      <c r="H6" s="40" t="s">
        <v>37</v>
      </c>
      <c r="I6" s="40">
        <v>0.76347600144367744</v>
      </c>
    </row>
    <row r="7" spans="2:13" x14ac:dyDescent="0.2">
      <c r="B7" s="19">
        <v>6000</v>
      </c>
      <c r="C7">
        <v>0</v>
      </c>
      <c r="D7">
        <v>8000</v>
      </c>
      <c r="E7" s="37">
        <v>673.23602604779546</v>
      </c>
      <c r="F7">
        <f t="shared" si="0"/>
        <v>557.34824948173923</v>
      </c>
      <c r="H7" s="40" t="s">
        <v>38</v>
      </c>
      <c r="I7" s="40">
        <v>0.74130187657902225</v>
      </c>
    </row>
    <row r="8" spans="2:13" x14ac:dyDescent="0.2">
      <c r="B8" s="19">
        <v>8000</v>
      </c>
      <c r="C8">
        <v>0</v>
      </c>
      <c r="D8">
        <v>8000</v>
      </c>
      <c r="E8" s="37">
        <v>465.8571003609074</v>
      </c>
      <c r="F8">
        <f t="shared" si="0"/>
        <v>427.83006722335654</v>
      </c>
      <c r="H8" s="40" t="s">
        <v>39</v>
      </c>
      <c r="I8" s="40">
        <v>150.96201894983179</v>
      </c>
    </row>
    <row r="9" spans="2:13" ht="13.5" thickBot="1" x14ac:dyDescent="0.25">
      <c r="B9" s="19">
        <v>4000</v>
      </c>
      <c r="C9">
        <v>0</v>
      </c>
      <c r="D9">
        <v>10000</v>
      </c>
      <c r="E9" s="37">
        <v>785.29984308622625</v>
      </c>
      <c r="F9">
        <f t="shared" si="0"/>
        <v>619.74169634504267</v>
      </c>
      <c r="H9" s="41" t="s">
        <v>40</v>
      </c>
      <c r="I9" s="41">
        <v>36</v>
      </c>
    </row>
    <row r="10" spans="2:13" x14ac:dyDescent="0.2">
      <c r="B10" s="19">
        <v>6000</v>
      </c>
      <c r="C10">
        <v>0</v>
      </c>
      <c r="D10">
        <v>10000</v>
      </c>
      <c r="E10" s="37">
        <v>557.833526580804</v>
      </c>
      <c r="F10">
        <f t="shared" si="0"/>
        <v>490.22351408666009</v>
      </c>
    </row>
    <row r="11" spans="2:13" ht="13.5" thickBot="1" x14ac:dyDescent="0.25">
      <c r="B11" s="19">
        <v>8000</v>
      </c>
      <c r="C11">
        <v>0</v>
      </c>
      <c r="D11">
        <v>10000</v>
      </c>
      <c r="E11" s="37">
        <v>380.78488226526952</v>
      </c>
      <c r="F11">
        <f t="shared" si="0"/>
        <v>360.70533182827739</v>
      </c>
      <c r="H11" t="s">
        <v>41</v>
      </c>
    </row>
    <row r="12" spans="2:13" x14ac:dyDescent="0.2">
      <c r="B12" s="19">
        <v>4000</v>
      </c>
      <c r="C12">
        <v>2</v>
      </c>
      <c r="D12">
        <v>6000</v>
      </c>
      <c r="E12" s="37">
        <v>637.22694349549863</v>
      </c>
      <c r="F12">
        <f t="shared" si="0"/>
        <v>633.8425071046554</v>
      </c>
      <c r="H12" s="42"/>
      <c r="I12" s="42" t="s">
        <v>46</v>
      </c>
      <c r="J12" s="42" t="s">
        <v>47</v>
      </c>
      <c r="K12" s="42" t="s">
        <v>48</v>
      </c>
      <c r="L12" s="42" t="s">
        <v>49</v>
      </c>
      <c r="M12" s="42" t="s">
        <v>50</v>
      </c>
    </row>
    <row r="13" spans="2:13" x14ac:dyDescent="0.2">
      <c r="B13" s="19">
        <v>6000</v>
      </c>
      <c r="C13">
        <v>2</v>
      </c>
      <c r="D13">
        <v>6000</v>
      </c>
      <c r="E13" s="37">
        <v>398.64919727625932</v>
      </c>
      <c r="F13">
        <f t="shared" si="0"/>
        <v>504.3243248462727</v>
      </c>
      <c r="H13" s="40" t="s">
        <v>42</v>
      </c>
      <c r="I13" s="40">
        <v>3</v>
      </c>
      <c r="J13" s="40">
        <v>2353995.0598018784</v>
      </c>
      <c r="K13" s="40">
        <v>784665.01993395947</v>
      </c>
      <c r="L13" s="40">
        <v>34.430941744205228</v>
      </c>
      <c r="M13" s="40">
        <v>3.9065558146117948E-10</v>
      </c>
    </row>
    <row r="14" spans="2:13" x14ac:dyDescent="0.2">
      <c r="B14" s="19">
        <v>8000</v>
      </c>
      <c r="C14">
        <v>2</v>
      </c>
      <c r="D14">
        <v>6000</v>
      </c>
      <c r="E14" s="37">
        <v>226.14641911733091</v>
      </c>
      <c r="F14">
        <f t="shared" si="0"/>
        <v>374.80614258789012</v>
      </c>
      <c r="H14" s="40" t="s">
        <v>43</v>
      </c>
      <c r="I14" s="40">
        <v>32</v>
      </c>
      <c r="J14" s="40">
        <v>729264.99729309976</v>
      </c>
      <c r="K14" s="40">
        <v>22789.531165409368</v>
      </c>
      <c r="L14" s="40"/>
      <c r="M14" s="40"/>
    </row>
    <row r="15" spans="2:13" ht="13.5" thickBot="1" x14ac:dyDescent="0.25">
      <c r="B15" s="19">
        <v>4000</v>
      </c>
      <c r="C15">
        <v>2</v>
      </c>
      <c r="D15">
        <v>8000</v>
      </c>
      <c r="E15" s="37">
        <v>500.99233981306929</v>
      </c>
      <c r="F15">
        <f t="shared" si="0"/>
        <v>566.71777170957625</v>
      </c>
      <c r="H15" s="41" t="s">
        <v>44</v>
      </c>
      <c r="I15" s="41">
        <v>35</v>
      </c>
      <c r="J15" s="41">
        <v>3083260.0570949782</v>
      </c>
      <c r="K15" s="41"/>
      <c r="L15" s="41"/>
      <c r="M15" s="41"/>
    </row>
    <row r="16" spans="2:13" ht="13.5" thickBot="1" x14ac:dyDescent="0.25">
      <c r="B16" s="19">
        <v>6000</v>
      </c>
      <c r="C16">
        <v>2</v>
      </c>
      <c r="D16">
        <v>8000</v>
      </c>
      <c r="E16" s="37">
        <v>305.18039957224744</v>
      </c>
      <c r="F16">
        <f t="shared" si="0"/>
        <v>437.19958945119356</v>
      </c>
    </row>
    <row r="17" spans="2:16" x14ac:dyDescent="0.2">
      <c r="B17" s="19">
        <v>8000</v>
      </c>
      <c r="C17">
        <v>2</v>
      </c>
      <c r="D17">
        <v>8000</v>
      </c>
      <c r="E17" s="37">
        <v>169.23568052503734</v>
      </c>
      <c r="F17">
        <f t="shared" si="0"/>
        <v>307.68140719281098</v>
      </c>
      <c r="H17" s="42"/>
      <c r="I17" s="42" t="s">
        <v>51</v>
      </c>
      <c r="J17" s="42" t="s">
        <v>39</v>
      </c>
      <c r="K17" s="42" t="s">
        <v>52</v>
      </c>
      <c r="L17" s="42" t="s">
        <v>53</v>
      </c>
      <c r="M17" s="42" t="s">
        <v>54</v>
      </c>
      <c r="N17" s="42" t="s">
        <v>55</v>
      </c>
      <c r="O17" s="42" t="s">
        <v>56</v>
      </c>
      <c r="P17" s="42" t="s">
        <v>57</v>
      </c>
    </row>
    <row r="18" spans="2:16" x14ac:dyDescent="0.2">
      <c r="B18" s="19">
        <v>4000</v>
      </c>
      <c r="C18">
        <v>2</v>
      </c>
      <c r="D18">
        <v>10000</v>
      </c>
      <c r="E18" s="37">
        <v>401.95572166438285</v>
      </c>
      <c r="F18">
        <f t="shared" si="0"/>
        <v>499.59303631449711</v>
      </c>
      <c r="H18" s="40" t="s">
        <v>45</v>
      </c>
      <c r="I18" s="40">
        <v>1214.4017378372037</v>
      </c>
      <c r="J18" s="40">
        <v>158.67602690175286</v>
      </c>
      <c r="K18" s="40">
        <v>7.6533409712175517</v>
      </c>
      <c r="L18" s="40">
        <v>1.0098583889296549E-8</v>
      </c>
      <c r="M18" s="40">
        <v>891.18924783325122</v>
      </c>
      <c r="N18" s="40">
        <v>1537.6142278411562</v>
      </c>
      <c r="O18" s="40">
        <v>891.18924783325122</v>
      </c>
      <c r="P18" s="40">
        <v>1537.6142278411562</v>
      </c>
    </row>
    <row r="19" spans="2:16" x14ac:dyDescent="0.2">
      <c r="B19" s="19">
        <v>6000</v>
      </c>
      <c r="C19">
        <v>2</v>
      </c>
      <c r="D19">
        <v>10000</v>
      </c>
      <c r="E19" s="37">
        <v>238.07799227599568</v>
      </c>
      <c r="F19">
        <f t="shared" si="0"/>
        <v>370.07485405611442</v>
      </c>
      <c r="H19" s="40" t="s">
        <v>58</v>
      </c>
      <c r="I19" s="40">
        <v>-6.4759091129191315E-2</v>
      </c>
      <c r="J19" s="40">
        <v>1.5407496540310529E-2</v>
      </c>
      <c r="K19" s="40">
        <v>-4.2030897725508192</v>
      </c>
      <c r="L19" s="40">
        <v>1.9729556597859166E-4</v>
      </c>
      <c r="M19" s="40">
        <v>-9.6143134571395977E-2</v>
      </c>
      <c r="N19" s="40">
        <v>-3.3375047686986646E-2</v>
      </c>
      <c r="O19" s="40">
        <v>-9.6143134571395977E-2</v>
      </c>
      <c r="P19" s="40">
        <v>-3.3375047686986646E-2</v>
      </c>
    </row>
    <row r="20" spans="2:16" x14ac:dyDescent="0.2">
      <c r="B20" s="19">
        <v>8000</v>
      </c>
      <c r="C20">
        <v>2</v>
      </c>
      <c r="D20">
        <v>10000</v>
      </c>
      <c r="E20" s="37">
        <v>126.68568692973658</v>
      </c>
      <c r="F20">
        <f t="shared" si="0"/>
        <v>240.55667179773184</v>
      </c>
      <c r="H20" s="40" t="s">
        <v>59</v>
      </c>
      <c r="I20" s="40">
        <v>-60.074330015272771</v>
      </c>
      <c r="J20" s="40">
        <v>6.6798007428800048</v>
      </c>
      <c r="K20" s="40">
        <v>-8.9934314401976678</v>
      </c>
      <c r="L20" s="40">
        <v>2.8434957820560144E-10</v>
      </c>
      <c r="M20" s="40">
        <v>-73.680638876114614</v>
      </c>
      <c r="N20" s="40">
        <v>-46.468021154430936</v>
      </c>
      <c r="O20" s="40">
        <v>-73.680638876114614</v>
      </c>
      <c r="P20" s="40">
        <v>-46.468021154430936</v>
      </c>
    </row>
    <row r="21" spans="2:16" ht="13.5" thickBot="1" x14ac:dyDescent="0.25">
      <c r="B21" s="19">
        <v>4000</v>
      </c>
      <c r="C21">
        <v>5</v>
      </c>
      <c r="D21">
        <v>6000</v>
      </c>
      <c r="E21" s="37">
        <v>294.65592391863987</v>
      </c>
      <c r="F21">
        <f t="shared" si="0"/>
        <v>453.61951705883712</v>
      </c>
      <c r="H21" s="41" t="s">
        <v>60</v>
      </c>
      <c r="I21" s="41">
        <v>-3.356236769753957E-2</v>
      </c>
      <c r="J21" s="41">
        <v>1.5407496540310527E-2</v>
      </c>
      <c r="K21" s="41">
        <v>-2.1783141479039494</v>
      </c>
      <c r="L21" s="41">
        <v>3.6861994800105227E-2</v>
      </c>
      <c r="M21" s="41">
        <v>-6.4946411139744226E-2</v>
      </c>
      <c r="N21" s="41">
        <v>-2.1783242553349083E-3</v>
      </c>
      <c r="O21" s="41">
        <v>-6.4946411139744226E-2</v>
      </c>
      <c r="P21" s="41">
        <v>-2.1783242553349083E-3</v>
      </c>
    </row>
    <row r="22" spans="2:16" x14ac:dyDescent="0.2">
      <c r="B22" s="19">
        <v>6000</v>
      </c>
      <c r="C22">
        <v>5</v>
      </c>
      <c r="D22">
        <v>6000</v>
      </c>
      <c r="E22" s="37">
        <v>154.5467766736607</v>
      </c>
      <c r="F22">
        <f t="shared" si="0"/>
        <v>324.10133480045442</v>
      </c>
    </row>
    <row r="23" spans="2:16" x14ac:dyDescent="0.2">
      <c r="B23" s="19">
        <v>8000</v>
      </c>
      <c r="C23">
        <v>5</v>
      </c>
      <c r="D23">
        <v>6000</v>
      </c>
      <c r="E23" s="37">
        <v>67.467340312042779</v>
      </c>
      <c r="F23">
        <f t="shared" si="0"/>
        <v>194.58315254207184</v>
      </c>
    </row>
    <row r="24" spans="2:16" x14ac:dyDescent="0.2">
      <c r="B24" s="19">
        <v>4000</v>
      </c>
      <c r="C24">
        <v>5</v>
      </c>
      <c r="D24">
        <v>8000</v>
      </c>
      <c r="E24" s="37">
        <v>221.08330013047734</v>
      </c>
      <c r="F24">
        <f t="shared" si="0"/>
        <v>386.49478166375798</v>
      </c>
    </row>
    <row r="25" spans="2:16" x14ac:dyDescent="0.2">
      <c r="B25" s="19">
        <v>6000</v>
      </c>
      <c r="C25">
        <v>5</v>
      </c>
      <c r="D25">
        <v>8000</v>
      </c>
      <c r="E25" s="37">
        <v>110.33849655015476</v>
      </c>
      <c r="F25">
        <f t="shared" si="0"/>
        <v>256.97659940537528</v>
      </c>
      <c r="H25">
        <f t="array" ref="H25:K29">LINEST(E3:E38,B3:D38,TRUE,TRUE)</f>
        <v>-3.356236769753957E-2</v>
      </c>
      <c r="I25">
        <v>-60.074330015272771</v>
      </c>
      <c r="J25">
        <v>-6.4759091129191315E-2</v>
      </c>
      <c r="K25">
        <v>1214.4017378372037</v>
      </c>
    </row>
    <row r="26" spans="2:16" x14ac:dyDescent="0.2">
      <c r="B26" s="19">
        <v>8000</v>
      </c>
      <c r="C26">
        <v>5</v>
      </c>
      <c r="D26">
        <v>8000</v>
      </c>
      <c r="E26" s="37">
        <v>44.476491720253826</v>
      </c>
      <c r="F26">
        <f t="shared" si="0"/>
        <v>127.45841714699282</v>
      </c>
      <c r="H26">
        <v>1.5407496540310527E-2</v>
      </c>
      <c r="I26">
        <v>6.6798007428800048</v>
      </c>
      <c r="J26">
        <v>1.5407496540310529E-2</v>
      </c>
      <c r="K26">
        <v>158.67602690175286</v>
      </c>
    </row>
    <row r="27" spans="2:16" x14ac:dyDescent="0.2">
      <c r="B27" s="19">
        <v>4000</v>
      </c>
      <c r="C27">
        <v>5</v>
      </c>
      <c r="D27">
        <v>10000</v>
      </c>
      <c r="E27" s="37">
        <v>167.56788615767394</v>
      </c>
      <c r="F27">
        <f t="shared" si="0"/>
        <v>319.37004626867883</v>
      </c>
      <c r="H27">
        <v>0.76347600144367744</v>
      </c>
      <c r="I27">
        <v>150.96201894983179</v>
      </c>
      <c r="J27" t="e">
        <v>#N/A</v>
      </c>
      <c r="K27" t="e">
        <v>#N/A</v>
      </c>
    </row>
    <row r="28" spans="2:16" x14ac:dyDescent="0.2">
      <c r="B28" s="19">
        <v>6000</v>
      </c>
      <c r="C28">
        <v>5</v>
      </c>
      <c r="D28">
        <v>10000</v>
      </c>
      <c r="E28" s="37">
        <v>77.828094222848463</v>
      </c>
      <c r="F28">
        <f t="shared" si="0"/>
        <v>189.85186401029614</v>
      </c>
      <c r="H28">
        <v>34.430941744205228</v>
      </c>
      <c r="I28">
        <v>32</v>
      </c>
      <c r="J28" t="e">
        <v>#N/A</v>
      </c>
      <c r="K28" t="e">
        <v>#N/A</v>
      </c>
    </row>
    <row r="29" spans="2:16" x14ac:dyDescent="0.2">
      <c r="B29" s="19">
        <v>8000</v>
      </c>
      <c r="C29">
        <v>5</v>
      </c>
      <c r="D29">
        <v>10000</v>
      </c>
      <c r="E29" s="37">
        <v>31.682759056596744</v>
      </c>
      <c r="F29">
        <f t="shared" si="0"/>
        <v>60.333681751913446</v>
      </c>
      <c r="H29">
        <v>2353995.0598018784</v>
      </c>
      <c r="I29">
        <v>729264.99729309976</v>
      </c>
      <c r="J29" t="e">
        <v>#N/A</v>
      </c>
      <c r="K29" t="e">
        <v>#N/A</v>
      </c>
    </row>
    <row r="30" spans="2:16" x14ac:dyDescent="0.2">
      <c r="B30" s="19">
        <v>4000</v>
      </c>
      <c r="C30">
        <v>10</v>
      </c>
      <c r="D30">
        <v>6000</v>
      </c>
      <c r="E30" s="37">
        <v>88.244305271757284</v>
      </c>
      <c r="F30">
        <f t="shared" si="0"/>
        <v>153.24786698247317</v>
      </c>
    </row>
    <row r="31" spans="2:16" x14ac:dyDescent="0.2">
      <c r="B31" s="19">
        <v>6000</v>
      </c>
      <c r="C31">
        <v>10</v>
      </c>
      <c r="D31">
        <v>6000</v>
      </c>
      <c r="E31" s="37">
        <v>41.248226482924139</v>
      </c>
      <c r="F31">
        <f t="shared" si="0"/>
        <v>23.729684724090703</v>
      </c>
    </row>
    <row r="32" spans="2:16" x14ac:dyDescent="0.2">
      <c r="B32" s="19">
        <v>8000</v>
      </c>
      <c r="C32">
        <v>10</v>
      </c>
      <c r="D32">
        <v>6000</v>
      </c>
      <c r="E32" s="37">
        <v>28.910018683054819</v>
      </c>
      <c r="F32">
        <f t="shared" si="0"/>
        <v>-105.78849753429199</v>
      </c>
    </row>
    <row r="33" spans="2:9" x14ac:dyDescent="0.2">
      <c r="B33" s="19">
        <v>4000</v>
      </c>
      <c r="C33">
        <v>10</v>
      </c>
      <c r="D33">
        <v>8000</v>
      </c>
      <c r="E33" s="37">
        <v>61.876198353430382</v>
      </c>
      <c r="F33">
        <f t="shared" si="0"/>
        <v>86.123131587394255</v>
      </c>
    </row>
    <row r="34" spans="2:9" x14ac:dyDescent="0.2">
      <c r="B34" s="19">
        <v>6000</v>
      </c>
      <c r="C34">
        <v>10</v>
      </c>
      <c r="D34">
        <v>8000</v>
      </c>
      <c r="E34" s="37">
        <v>33.66180130239033</v>
      </c>
      <c r="F34">
        <f t="shared" si="0"/>
        <v>-43.395050670988439</v>
      </c>
    </row>
    <row r="35" spans="2:9" x14ac:dyDescent="0.2">
      <c r="B35" s="19">
        <v>8000</v>
      </c>
      <c r="C35">
        <v>10</v>
      </c>
      <c r="D35">
        <v>8000</v>
      </c>
      <c r="E35" s="37">
        <v>23.292855018045039</v>
      </c>
      <c r="F35">
        <f t="shared" si="0"/>
        <v>-172.91323292937113</v>
      </c>
    </row>
    <row r="36" spans="2:9" x14ac:dyDescent="0.2">
      <c r="B36" s="19">
        <v>4000</v>
      </c>
      <c r="C36">
        <v>10</v>
      </c>
      <c r="D36">
        <v>10000</v>
      </c>
      <c r="E36" s="37">
        <v>42.980566238448766</v>
      </c>
      <c r="F36">
        <f t="shared" si="0"/>
        <v>18.998396192314885</v>
      </c>
    </row>
    <row r="37" spans="2:9" x14ac:dyDescent="0.2">
      <c r="B37" s="19">
        <v>6000</v>
      </c>
      <c r="C37">
        <v>10</v>
      </c>
      <c r="D37">
        <v>10000</v>
      </c>
      <c r="E37" s="37">
        <v>27.891676329040628</v>
      </c>
      <c r="F37">
        <f t="shared" si="0"/>
        <v>-110.51978606606758</v>
      </c>
    </row>
    <row r="38" spans="2:9" x14ac:dyDescent="0.2">
      <c r="B38" s="19">
        <v>8000</v>
      </c>
      <c r="C38">
        <v>10</v>
      </c>
      <c r="D38">
        <v>10000</v>
      </c>
      <c r="E38" s="37">
        <v>19.039244113263663</v>
      </c>
      <c r="F38">
        <f t="shared" si="0"/>
        <v>-240.03796832445028</v>
      </c>
    </row>
    <row r="41" spans="2:9" x14ac:dyDescent="0.2">
      <c r="B41" t="s">
        <v>8</v>
      </c>
      <c r="C41" t="s">
        <v>16</v>
      </c>
      <c r="D41" t="s">
        <v>33</v>
      </c>
      <c r="E41" t="s">
        <v>5</v>
      </c>
      <c r="F41" t="s">
        <v>63</v>
      </c>
      <c r="H41" t="s">
        <v>34</v>
      </c>
    </row>
    <row r="42" spans="2:9" ht="13.5" thickBot="1" x14ac:dyDescent="0.25">
      <c r="B42" s="19">
        <v>4000</v>
      </c>
      <c r="C42">
        <v>0</v>
      </c>
      <c r="D42">
        <v>6000</v>
      </c>
      <c r="E42" s="37">
        <v>1924.4755254498739</v>
      </c>
      <c r="F42">
        <f>$I$58*B42+$I$59*C42+$I$60*D42+$I$57</f>
        <v>1557.8082836924941</v>
      </c>
    </row>
    <row r="43" spans="2:9" x14ac:dyDescent="0.2">
      <c r="B43" s="19">
        <v>6000</v>
      </c>
      <c r="C43">
        <v>0</v>
      </c>
      <c r="D43">
        <v>6000</v>
      </c>
      <c r="E43" s="37">
        <v>1549.5512767215985</v>
      </c>
      <c r="F43">
        <f t="shared" ref="F43:F77" si="1">$I$58*B43+$I$59*C43+$I$60*D43+$I$57</f>
        <v>1335.1920913596107</v>
      </c>
      <c r="H43" s="43" t="s">
        <v>35</v>
      </c>
      <c r="I43" s="43"/>
    </row>
    <row r="44" spans="2:9" x14ac:dyDescent="0.2">
      <c r="B44" s="19">
        <v>8000</v>
      </c>
      <c r="C44">
        <v>0</v>
      </c>
      <c r="D44">
        <v>6000</v>
      </c>
      <c r="E44" s="37">
        <v>1228.7724503975571</v>
      </c>
      <c r="F44">
        <f t="shared" si="1"/>
        <v>1112.5758990267273</v>
      </c>
      <c r="H44" s="40" t="s">
        <v>36</v>
      </c>
      <c r="I44" s="40">
        <v>0.95064716454126552</v>
      </c>
    </row>
    <row r="45" spans="2:9" x14ac:dyDescent="0.2">
      <c r="B45" s="19">
        <v>4000</v>
      </c>
      <c r="C45">
        <v>0</v>
      </c>
      <c r="D45">
        <v>8000</v>
      </c>
      <c r="E45" s="37">
        <v>1674.0665662251704</v>
      </c>
      <c r="F45">
        <f t="shared" si="1"/>
        <v>1428.392189079947</v>
      </c>
      <c r="H45" s="40" t="s">
        <v>37</v>
      </c>
      <c r="I45" s="40">
        <v>0.90373003145034791</v>
      </c>
    </row>
    <row r="46" spans="2:9" x14ac:dyDescent="0.2">
      <c r="B46" s="19">
        <v>6000</v>
      </c>
      <c r="C46">
        <v>0</v>
      </c>
      <c r="D46">
        <v>8000</v>
      </c>
      <c r="E46" s="37">
        <v>1334.3665156734644</v>
      </c>
      <c r="F46">
        <f t="shared" si="1"/>
        <v>1205.7759967470636</v>
      </c>
      <c r="H46" s="40" t="s">
        <v>38</v>
      </c>
      <c r="I46" s="40">
        <v>0.894704721898818</v>
      </c>
    </row>
    <row r="47" spans="2:9" x14ac:dyDescent="0.2">
      <c r="B47" s="19">
        <v>8000</v>
      </c>
      <c r="C47">
        <v>0</v>
      </c>
      <c r="D47">
        <v>8000</v>
      </c>
      <c r="E47" s="37">
        <v>1046.884580143417</v>
      </c>
      <c r="F47">
        <f t="shared" si="1"/>
        <v>983.15980441418014</v>
      </c>
      <c r="H47" s="40" t="s">
        <v>39</v>
      </c>
      <c r="I47" s="40">
        <v>162.67494180581588</v>
      </c>
    </row>
    <row r="48" spans="2:9" ht="13.5" thickBot="1" x14ac:dyDescent="0.25">
      <c r="B48" s="19">
        <v>4000</v>
      </c>
      <c r="C48">
        <v>0</v>
      </c>
      <c r="D48">
        <v>10000</v>
      </c>
      <c r="E48" s="37">
        <v>1457.1756518914208</v>
      </c>
      <c r="F48">
        <f t="shared" si="1"/>
        <v>1298.9760944674001</v>
      </c>
      <c r="H48" s="41" t="s">
        <v>40</v>
      </c>
      <c r="I48" s="41">
        <v>36</v>
      </c>
    </row>
    <row r="49" spans="2:16" x14ac:dyDescent="0.2">
      <c r="B49" s="19">
        <v>6000</v>
      </c>
      <c r="C49">
        <v>0</v>
      </c>
      <c r="D49">
        <v>10000</v>
      </c>
      <c r="E49" s="37">
        <v>1152.3292909643533</v>
      </c>
      <c r="F49">
        <f t="shared" si="1"/>
        <v>1076.3599021345167</v>
      </c>
    </row>
    <row r="50" spans="2:16" ht="13.5" thickBot="1" x14ac:dyDescent="0.25">
      <c r="B50" s="19">
        <v>8000</v>
      </c>
      <c r="C50">
        <v>0</v>
      </c>
      <c r="D50">
        <v>10000</v>
      </c>
      <c r="E50" s="37">
        <v>897.00772725663046</v>
      </c>
      <c r="F50">
        <f t="shared" si="1"/>
        <v>853.74370980163303</v>
      </c>
      <c r="H50" t="s">
        <v>41</v>
      </c>
    </row>
    <row r="51" spans="2:16" x14ac:dyDescent="0.2">
      <c r="B51" s="19">
        <v>4000</v>
      </c>
      <c r="C51">
        <v>2</v>
      </c>
      <c r="D51">
        <v>6000</v>
      </c>
      <c r="E51" s="37">
        <v>1365.6984329644051</v>
      </c>
      <c r="F51">
        <f t="shared" si="1"/>
        <v>1334.6615173090229</v>
      </c>
      <c r="H51" s="42"/>
      <c r="I51" s="42" t="s">
        <v>46</v>
      </c>
      <c r="J51" s="42" t="s">
        <v>47</v>
      </c>
      <c r="K51" s="42" t="s">
        <v>48</v>
      </c>
      <c r="L51" s="42" t="s">
        <v>49</v>
      </c>
      <c r="M51" s="42" t="s">
        <v>50</v>
      </c>
    </row>
    <row r="52" spans="2:16" x14ac:dyDescent="0.2">
      <c r="B52" s="19">
        <v>6000</v>
      </c>
      <c r="C52">
        <v>2</v>
      </c>
      <c r="D52">
        <v>6000</v>
      </c>
      <c r="E52" s="37">
        <v>1027.668646925333</v>
      </c>
      <c r="F52">
        <f t="shared" si="1"/>
        <v>1112.0453249761395</v>
      </c>
      <c r="H52" s="40" t="s">
        <v>42</v>
      </c>
      <c r="I52" s="40">
        <v>3</v>
      </c>
      <c r="J52" s="40">
        <v>7949488.4528763928</v>
      </c>
      <c r="K52" s="40">
        <v>2649829.4842921309</v>
      </c>
      <c r="L52" s="40">
        <v>100.13285708268658</v>
      </c>
      <c r="M52" s="40">
        <v>2.397252893320812E-16</v>
      </c>
    </row>
    <row r="53" spans="2:16" x14ac:dyDescent="0.2">
      <c r="B53" s="19">
        <v>8000</v>
      </c>
      <c r="C53">
        <v>2</v>
      </c>
      <c r="D53">
        <v>6000</v>
      </c>
      <c r="E53" s="37">
        <v>749.63390019460599</v>
      </c>
      <c r="F53">
        <f t="shared" si="1"/>
        <v>889.42913264325603</v>
      </c>
      <c r="H53" s="40" t="s">
        <v>43</v>
      </c>
      <c r="I53" s="40">
        <v>32</v>
      </c>
      <c r="J53" s="40">
        <v>846820.37412881874</v>
      </c>
      <c r="K53" s="40">
        <v>26463.136691525586</v>
      </c>
      <c r="L53" s="40"/>
      <c r="M53" s="40"/>
    </row>
    <row r="54" spans="2:16" ht="13.5" thickBot="1" x14ac:dyDescent="0.25">
      <c r="B54" s="19">
        <v>4000</v>
      </c>
      <c r="C54">
        <v>2</v>
      </c>
      <c r="D54">
        <v>8000</v>
      </c>
      <c r="E54" s="37">
        <v>1145.5479556813304</v>
      </c>
      <c r="F54">
        <f t="shared" si="1"/>
        <v>1205.245422696476</v>
      </c>
      <c r="H54" s="41" t="s">
        <v>44</v>
      </c>
      <c r="I54" s="41">
        <v>35</v>
      </c>
      <c r="J54" s="41">
        <v>8796308.8270052113</v>
      </c>
      <c r="K54" s="41"/>
      <c r="L54" s="41"/>
      <c r="M54" s="41"/>
    </row>
    <row r="55" spans="2:16" ht="13.5" thickBot="1" x14ac:dyDescent="0.25">
      <c r="B55" s="19">
        <v>6000</v>
      </c>
      <c r="C55">
        <v>2</v>
      </c>
      <c r="D55">
        <v>8000</v>
      </c>
      <c r="E55" s="37">
        <v>849.16759928087345</v>
      </c>
      <c r="F55">
        <f t="shared" si="1"/>
        <v>982.62923036359234</v>
      </c>
    </row>
    <row r="56" spans="2:16" x14ac:dyDescent="0.2">
      <c r="B56" s="19">
        <v>8000</v>
      </c>
      <c r="C56">
        <v>2</v>
      </c>
      <c r="D56">
        <v>8000</v>
      </c>
      <c r="E56" s="37">
        <v>608.0948638664222</v>
      </c>
      <c r="F56">
        <f t="shared" si="1"/>
        <v>760.01303803070891</v>
      </c>
      <c r="H56" s="42"/>
      <c r="I56" s="42" t="s">
        <v>51</v>
      </c>
      <c r="J56" s="42" t="s">
        <v>39</v>
      </c>
      <c r="K56" s="42" t="s">
        <v>52</v>
      </c>
      <c r="L56" s="42" t="s">
        <v>53</v>
      </c>
      <c r="M56" s="42" t="s">
        <v>54</v>
      </c>
      <c r="N56" s="42" t="s">
        <v>55</v>
      </c>
      <c r="O56" s="42" t="s">
        <v>56</v>
      </c>
      <c r="P56" s="42" t="s">
        <v>57</v>
      </c>
    </row>
    <row r="57" spans="2:16" x14ac:dyDescent="0.2">
      <c r="B57" s="19">
        <v>4000</v>
      </c>
      <c r="C57">
        <v>2</v>
      </c>
      <c r="D57">
        <v>10000</v>
      </c>
      <c r="E57" s="37">
        <v>965.9448021009423</v>
      </c>
      <c r="F57">
        <f t="shared" si="1"/>
        <v>1075.8293280839289</v>
      </c>
      <c r="H57" s="40" t="s">
        <v>45</v>
      </c>
      <c r="I57" s="40">
        <v>2391.2889521959023</v>
      </c>
      <c r="J57" s="40">
        <v>170.98746838301668</v>
      </c>
      <c r="K57" s="40">
        <v>13.985170812865354</v>
      </c>
      <c r="L57" s="40">
        <v>3.5068022462741225E-15</v>
      </c>
      <c r="M57" s="40">
        <v>2042.9988765327057</v>
      </c>
      <c r="N57" s="40">
        <v>2739.5790278590989</v>
      </c>
      <c r="O57" s="40">
        <v>2042.9988765327057</v>
      </c>
      <c r="P57" s="40">
        <v>2739.5790278590989</v>
      </c>
    </row>
    <row r="58" spans="2:16" x14ac:dyDescent="0.2">
      <c r="B58" s="19">
        <v>6000</v>
      </c>
      <c r="C58">
        <v>2</v>
      </c>
      <c r="D58">
        <v>10000</v>
      </c>
      <c r="E58" s="37">
        <v>706.58118449359097</v>
      </c>
      <c r="F58">
        <f t="shared" si="1"/>
        <v>853.21313575104523</v>
      </c>
      <c r="H58" s="40" t="s">
        <v>58</v>
      </c>
      <c r="I58" s="40">
        <v>-0.11130809616644174</v>
      </c>
      <c r="J58" s="40">
        <v>1.6602941723383183E-2</v>
      </c>
      <c r="K58" s="40">
        <v>-6.7041189459623354</v>
      </c>
      <c r="L58" s="40">
        <v>1.4372416780617657E-7</v>
      </c>
      <c r="M58" s="40">
        <v>-0.14512718176232586</v>
      </c>
      <c r="N58" s="40">
        <v>-7.7489010570557626E-2</v>
      </c>
      <c r="O58" s="40">
        <v>-0.14512718176232586</v>
      </c>
      <c r="P58" s="40">
        <v>-7.7489010570557626E-2</v>
      </c>
    </row>
    <row r="59" spans="2:16" x14ac:dyDescent="0.2">
      <c r="B59" s="19">
        <v>8000</v>
      </c>
      <c r="C59">
        <v>2</v>
      </c>
      <c r="D59">
        <v>10000</v>
      </c>
      <c r="E59" s="37">
        <v>499.98830104282172</v>
      </c>
      <c r="F59">
        <f t="shared" si="1"/>
        <v>630.59694341816203</v>
      </c>
      <c r="H59" s="40" t="s">
        <v>59</v>
      </c>
      <c r="I59" s="40">
        <v>-111.5733831917356</v>
      </c>
      <c r="J59" s="40">
        <v>7.1980767393125902</v>
      </c>
      <c r="K59" s="40">
        <v>-15.500443692462046</v>
      </c>
      <c r="L59" s="40">
        <v>1.9678858845204206E-16</v>
      </c>
      <c r="M59" s="40">
        <v>-126.23538571082598</v>
      </c>
      <c r="N59" s="40">
        <v>-96.911380672645222</v>
      </c>
      <c r="O59" s="40">
        <v>-126.23538571082598</v>
      </c>
      <c r="P59" s="40">
        <v>-96.911380672645222</v>
      </c>
    </row>
    <row r="60" spans="2:16" ht="13.5" thickBot="1" x14ac:dyDescent="0.25">
      <c r="B60" s="19">
        <v>4000</v>
      </c>
      <c r="C60">
        <v>5</v>
      </c>
      <c r="D60">
        <v>6000</v>
      </c>
      <c r="E60" s="37">
        <v>849.7864960573836</v>
      </c>
      <c r="F60">
        <f t="shared" si="1"/>
        <v>999.94136773381615</v>
      </c>
      <c r="H60" s="41" t="s">
        <v>60</v>
      </c>
      <c r="I60" s="41">
        <v>-6.4708047306273525E-2</v>
      </c>
      <c r="J60" s="41">
        <v>1.6602941723383183E-2</v>
      </c>
      <c r="K60" s="41">
        <v>-3.8973844746524811</v>
      </c>
      <c r="L60" s="41">
        <v>4.6685635543305747E-4</v>
      </c>
      <c r="M60" s="41">
        <v>-9.8527132902157644E-2</v>
      </c>
      <c r="N60" s="41">
        <v>-3.0888961710389407E-2</v>
      </c>
      <c r="O60" s="41">
        <v>-9.8527132902157644E-2</v>
      </c>
      <c r="P60" s="41">
        <v>-3.0888961710389407E-2</v>
      </c>
    </row>
    <row r="61" spans="2:16" x14ac:dyDescent="0.2">
      <c r="B61" s="19">
        <v>6000</v>
      </c>
      <c r="C61">
        <v>5</v>
      </c>
      <c r="D61">
        <v>6000</v>
      </c>
      <c r="E61" s="37">
        <v>587.61514170272346</v>
      </c>
      <c r="F61">
        <f t="shared" si="1"/>
        <v>777.32517540093272</v>
      </c>
    </row>
    <row r="62" spans="2:16" x14ac:dyDescent="0.2">
      <c r="B62" s="19">
        <v>8000</v>
      </c>
      <c r="C62">
        <v>5</v>
      </c>
      <c r="D62">
        <v>6000</v>
      </c>
      <c r="E62" s="37">
        <v>385.39864739194383</v>
      </c>
      <c r="F62">
        <f t="shared" si="1"/>
        <v>554.70898306804929</v>
      </c>
    </row>
    <row r="63" spans="2:16" x14ac:dyDescent="0.2">
      <c r="B63" s="19">
        <v>4000</v>
      </c>
      <c r="C63">
        <v>5</v>
      </c>
      <c r="D63">
        <v>8000</v>
      </c>
      <c r="E63" s="37">
        <v>692.03743744051337</v>
      </c>
      <c r="F63">
        <f t="shared" si="1"/>
        <v>870.52527312126904</v>
      </c>
    </row>
    <row r="64" spans="2:16" x14ac:dyDescent="0.2">
      <c r="B64" s="19">
        <v>6000</v>
      </c>
      <c r="C64">
        <v>5</v>
      </c>
      <c r="D64">
        <v>8000</v>
      </c>
      <c r="E64" s="37">
        <v>471.04679597099999</v>
      </c>
      <c r="F64">
        <f t="shared" si="1"/>
        <v>647.90908078838561</v>
      </c>
      <c r="H64">
        <f t="array" ref="H64:K68">LINEST(E42:E77,B42:D77,TRUE,TRUE)</f>
        <v>-6.4708047306273525E-2</v>
      </c>
      <c r="I64">
        <v>-111.5733831917356</v>
      </c>
      <c r="J64">
        <v>-0.11130809616644174</v>
      </c>
      <c r="K64">
        <v>2391.2889521959023</v>
      </c>
    </row>
    <row r="65" spans="2:11" x14ac:dyDescent="0.2">
      <c r="B65" s="19">
        <v>8000</v>
      </c>
      <c r="C65">
        <v>5</v>
      </c>
      <c r="D65">
        <v>8000</v>
      </c>
      <c r="E65" s="37">
        <v>302.61649907298744</v>
      </c>
      <c r="F65">
        <f t="shared" si="1"/>
        <v>425.29288845550218</v>
      </c>
      <c r="H65">
        <v>1.6602941723383183E-2</v>
      </c>
      <c r="I65">
        <v>7.1980767393125902</v>
      </c>
      <c r="J65">
        <v>1.6602941723383183E-2</v>
      </c>
      <c r="K65">
        <v>170.98746838301668</v>
      </c>
    </row>
    <row r="66" spans="2:11" x14ac:dyDescent="0.2">
      <c r="B66" s="19">
        <v>4000</v>
      </c>
      <c r="C66">
        <v>5</v>
      </c>
      <c r="D66">
        <v>10000</v>
      </c>
      <c r="E66" s="37">
        <v>574.31843953882537</v>
      </c>
      <c r="F66">
        <f t="shared" si="1"/>
        <v>741.10917850872215</v>
      </c>
      <c r="H66">
        <v>0.90373003145034791</v>
      </c>
      <c r="I66">
        <v>162.67494180581588</v>
      </c>
      <c r="J66" t="e">
        <v>#N/A</v>
      </c>
      <c r="K66" t="e">
        <v>#N/A</v>
      </c>
    </row>
    <row r="67" spans="2:11" x14ac:dyDescent="0.2">
      <c r="B67" s="19">
        <v>6000</v>
      </c>
      <c r="C67">
        <v>5</v>
      </c>
      <c r="D67">
        <v>10000</v>
      </c>
      <c r="E67" s="37">
        <v>382.74923090887927</v>
      </c>
      <c r="F67">
        <f t="shared" si="1"/>
        <v>518.49298617583872</v>
      </c>
      <c r="H67">
        <v>100.13285708268658</v>
      </c>
      <c r="I67">
        <v>32</v>
      </c>
      <c r="J67" t="e">
        <v>#N/A</v>
      </c>
      <c r="K67" t="e">
        <v>#N/A</v>
      </c>
    </row>
    <row r="68" spans="2:11" x14ac:dyDescent="0.2">
      <c r="B68" s="19">
        <v>8000</v>
      </c>
      <c r="C68">
        <v>5</v>
      </c>
      <c r="D68">
        <v>10000</v>
      </c>
      <c r="E68" s="37">
        <v>240.86162976660759</v>
      </c>
      <c r="F68">
        <f t="shared" si="1"/>
        <v>295.87679384295507</v>
      </c>
      <c r="H68">
        <v>7949488.4528763928</v>
      </c>
      <c r="I68">
        <v>846820.37412881874</v>
      </c>
      <c r="J68" t="e">
        <v>#N/A</v>
      </c>
      <c r="K68" t="e">
        <v>#N/A</v>
      </c>
    </row>
    <row r="69" spans="2:11" x14ac:dyDescent="0.2">
      <c r="B69" s="19">
        <v>4000</v>
      </c>
      <c r="C69">
        <v>10</v>
      </c>
      <c r="D69">
        <v>6000</v>
      </c>
      <c r="E69" s="37">
        <v>399.72414197439349</v>
      </c>
      <c r="F69">
        <f t="shared" si="1"/>
        <v>442.07445177513841</v>
      </c>
    </row>
    <row r="70" spans="2:11" x14ac:dyDescent="0.2">
      <c r="B70" s="19">
        <v>6000</v>
      </c>
      <c r="C70">
        <v>10</v>
      </c>
      <c r="D70">
        <v>6000</v>
      </c>
      <c r="E70" s="37">
        <v>206.7595131265231</v>
      </c>
      <c r="F70">
        <f t="shared" si="1"/>
        <v>219.45825944225453</v>
      </c>
    </row>
    <row r="71" spans="2:11" x14ac:dyDescent="0.2">
      <c r="B71" s="19">
        <v>8000</v>
      </c>
      <c r="C71">
        <v>10</v>
      </c>
      <c r="D71">
        <v>6000</v>
      </c>
      <c r="E71" s="37">
        <v>115.39621389566604</v>
      </c>
      <c r="F71">
        <f t="shared" si="1"/>
        <v>-3.1579328906286719</v>
      </c>
    </row>
    <row r="72" spans="2:11" x14ac:dyDescent="0.2">
      <c r="B72" s="19">
        <v>4000</v>
      </c>
      <c r="C72">
        <v>10</v>
      </c>
      <c r="D72">
        <v>8000</v>
      </c>
      <c r="E72" s="37">
        <v>295.46563278719816</v>
      </c>
      <c r="F72">
        <f t="shared" si="1"/>
        <v>312.65835716259153</v>
      </c>
    </row>
    <row r="73" spans="2:11" x14ac:dyDescent="0.2">
      <c r="B73" s="19">
        <v>6000</v>
      </c>
      <c r="C73">
        <v>10</v>
      </c>
      <c r="D73">
        <v>8000</v>
      </c>
      <c r="E73" s="37">
        <v>157.75086044564625</v>
      </c>
      <c r="F73">
        <f t="shared" si="1"/>
        <v>90.042164829707872</v>
      </c>
    </row>
    <row r="74" spans="2:11" x14ac:dyDescent="0.2">
      <c r="B74" s="19">
        <v>8000</v>
      </c>
      <c r="C74">
        <v>10</v>
      </c>
      <c r="D74">
        <v>8000</v>
      </c>
      <c r="E74" s="37">
        <v>85.188445067844427</v>
      </c>
      <c r="F74">
        <f t="shared" si="1"/>
        <v>-132.57402750317578</v>
      </c>
    </row>
    <row r="75" spans="2:11" x14ac:dyDescent="0.2">
      <c r="B75" s="19">
        <v>4000</v>
      </c>
      <c r="C75">
        <v>10</v>
      </c>
      <c r="D75">
        <v>10000</v>
      </c>
      <c r="E75" s="37">
        <v>222.8864038951331</v>
      </c>
      <c r="F75">
        <f t="shared" si="1"/>
        <v>183.24226255004442</v>
      </c>
    </row>
    <row r="76" spans="2:11" x14ac:dyDescent="0.2">
      <c r="B76" s="19">
        <v>6000</v>
      </c>
      <c r="C76">
        <v>10</v>
      </c>
      <c r="D76">
        <v>10000</v>
      </c>
      <c r="E76" s="37">
        <v>120.15584232079026</v>
      </c>
      <c r="F76">
        <f t="shared" si="1"/>
        <v>-39.373929782839241</v>
      </c>
    </row>
    <row r="77" spans="2:11" x14ac:dyDescent="0.2">
      <c r="B77" s="19">
        <v>8000</v>
      </c>
      <c r="C77">
        <v>10</v>
      </c>
      <c r="D77">
        <v>10000</v>
      </c>
      <c r="E77" s="37">
        <v>64.495611920881743</v>
      </c>
      <c r="F77">
        <f t="shared" si="1"/>
        <v>-261.9901221157229</v>
      </c>
    </row>
    <row r="80" spans="2:11" x14ac:dyDescent="0.2">
      <c r="B80" t="s">
        <v>8</v>
      </c>
      <c r="C80" t="s">
        <v>16</v>
      </c>
      <c r="D80" t="s">
        <v>33</v>
      </c>
      <c r="E80" t="s">
        <v>5</v>
      </c>
      <c r="F80" t="s">
        <v>63</v>
      </c>
      <c r="H80" t="s">
        <v>34</v>
      </c>
    </row>
    <row r="81" spans="2:16" ht="13.5" thickBot="1" x14ac:dyDescent="0.25">
      <c r="B81" s="19">
        <v>4000</v>
      </c>
      <c r="C81">
        <v>0</v>
      </c>
      <c r="D81">
        <v>6000</v>
      </c>
      <c r="E81" s="37">
        <v>3694.7844694853457</v>
      </c>
      <c r="F81">
        <f>$I$97*B81+$I$98*C81+$I$99*D81+$I$96</f>
        <v>3443.8872273308516</v>
      </c>
    </row>
    <row r="82" spans="2:16" x14ac:dyDescent="0.2">
      <c r="B82" s="19">
        <v>6000</v>
      </c>
      <c r="C82">
        <v>0</v>
      </c>
      <c r="D82">
        <v>6000</v>
      </c>
      <c r="E82" s="37">
        <v>3239.2623681949285</v>
      </c>
      <c r="F82">
        <f t="shared" ref="F82:F116" si="2">$I$97*B82+$I$98*C82+$I$99*D82+$I$96</f>
        <v>3080.0619117280521</v>
      </c>
      <c r="H82" s="43" t="s">
        <v>35</v>
      </c>
      <c r="I82" s="43"/>
    </row>
    <row r="83" spans="2:16" x14ac:dyDescent="0.2">
      <c r="B83" s="19">
        <v>8000</v>
      </c>
      <c r="C83">
        <v>0</v>
      </c>
      <c r="D83">
        <v>6000</v>
      </c>
      <c r="E83" s="37">
        <v>2827.7590503591623</v>
      </c>
      <c r="F83">
        <f t="shared" si="2"/>
        <v>2716.2365961252531</v>
      </c>
      <c r="H83" s="40" t="s">
        <v>36</v>
      </c>
      <c r="I83" s="40">
        <v>0.98831115434138817</v>
      </c>
    </row>
    <row r="84" spans="2:16" x14ac:dyDescent="0.2">
      <c r="B84" s="19">
        <v>4000</v>
      </c>
      <c r="C84">
        <v>0</v>
      </c>
      <c r="D84">
        <v>8000</v>
      </c>
      <c r="E84" s="37">
        <v>3373.6708305505299</v>
      </c>
      <c r="F84">
        <f t="shared" si="2"/>
        <v>3205.5694437133784</v>
      </c>
      <c r="H84" s="40" t="s">
        <v>37</v>
      </c>
      <c r="I84" s="40">
        <v>0.97675893779560707</v>
      </c>
    </row>
    <row r="85" spans="2:16" x14ac:dyDescent="0.2">
      <c r="B85" s="19">
        <v>6000</v>
      </c>
      <c r="C85">
        <v>0</v>
      </c>
      <c r="D85">
        <v>8000</v>
      </c>
      <c r="E85" s="37">
        <v>2947.5416173246763</v>
      </c>
      <c r="F85">
        <f t="shared" si="2"/>
        <v>2841.7441281105789</v>
      </c>
      <c r="H85" s="40" t="s">
        <v>38</v>
      </c>
      <c r="I85" s="40">
        <v>0.97458008821394526</v>
      </c>
    </row>
    <row r="86" spans="2:16" x14ac:dyDescent="0.2">
      <c r="B86" s="19">
        <v>8000</v>
      </c>
      <c r="C86">
        <v>0</v>
      </c>
      <c r="D86">
        <v>8000</v>
      </c>
      <c r="E86" s="37">
        <v>2563.4037786983176</v>
      </c>
      <c r="F86">
        <f t="shared" si="2"/>
        <v>2477.9188125077794</v>
      </c>
      <c r="H86" s="40" t="s">
        <v>39</v>
      </c>
      <c r="I86" s="40">
        <v>127.547186715922</v>
      </c>
    </row>
    <row r="87" spans="2:16" ht="13.5" thickBot="1" x14ac:dyDescent="0.25">
      <c r="B87" s="19">
        <v>4000</v>
      </c>
      <c r="C87">
        <v>0</v>
      </c>
      <c r="D87">
        <v>10000</v>
      </c>
      <c r="E87" s="37">
        <v>3080.5430362882216</v>
      </c>
      <c r="F87">
        <f t="shared" si="2"/>
        <v>2967.2516600959052</v>
      </c>
      <c r="H87" s="41" t="s">
        <v>40</v>
      </c>
      <c r="I87" s="41">
        <v>36</v>
      </c>
    </row>
    <row r="88" spans="2:16" x14ac:dyDescent="0.2">
      <c r="B88" s="19">
        <v>6000</v>
      </c>
      <c r="C88">
        <v>0</v>
      </c>
      <c r="D88">
        <v>10000</v>
      </c>
      <c r="E88" s="37">
        <v>2681.8604778664103</v>
      </c>
      <c r="F88">
        <f t="shared" si="2"/>
        <v>2603.4263444931057</v>
      </c>
    </row>
    <row r="89" spans="2:16" ht="13.5" thickBot="1" x14ac:dyDescent="0.25">
      <c r="B89" s="19">
        <v>8000</v>
      </c>
      <c r="C89">
        <v>0</v>
      </c>
      <c r="D89">
        <v>10000</v>
      </c>
      <c r="E89" s="37">
        <v>2322.4405288124262</v>
      </c>
      <c r="F89">
        <f t="shared" si="2"/>
        <v>2239.6010288903062</v>
      </c>
      <c r="H89" t="s">
        <v>41</v>
      </c>
    </row>
    <row r="90" spans="2:16" x14ac:dyDescent="0.2">
      <c r="B90" s="19">
        <v>4000</v>
      </c>
      <c r="C90">
        <v>2</v>
      </c>
      <c r="D90">
        <v>6000</v>
      </c>
      <c r="E90" s="37">
        <v>3085.4314416921056</v>
      </c>
      <c r="F90">
        <f t="shared" si="2"/>
        <v>3075.3886198555097</v>
      </c>
      <c r="H90" s="42"/>
      <c r="I90" s="42" t="s">
        <v>46</v>
      </c>
      <c r="J90" s="42" t="s">
        <v>47</v>
      </c>
      <c r="K90" s="42" t="s">
        <v>48</v>
      </c>
      <c r="L90" s="42" t="s">
        <v>49</v>
      </c>
      <c r="M90" s="42" t="s">
        <v>50</v>
      </c>
    </row>
    <row r="91" spans="2:16" x14ac:dyDescent="0.2">
      <c r="B91" s="19">
        <v>6000</v>
      </c>
      <c r="C91">
        <v>2</v>
      </c>
      <c r="D91">
        <v>6000</v>
      </c>
      <c r="E91" s="37">
        <v>2652.1875512216748</v>
      </c>
      <c r="F91">
        <f t="shared" si="2"/>
        <v>2711.5633042527102</v>
      </c>
      <c r="H91" s="40" t="s">
        <v>42</v>
      </c>
      <c r="I91" s="40">
        <v>3</v>
      </c>
      <c r="J91" s="40">
        <v>21878783.307916041</v>
      </c>
      <c r="K91" s="40">
        <v>7292927.7693053475</v>
      </c>
      <c r="L91" s="40">
        <v>448.29112850030896</v>
      </c>
      <c r="M91" s="40">
        <v>3.3096306349314186E-26</v>
      </c>
    </row>
    <row r="92" spans="2:16" x14ac:dyDescent="0.2">
      <c r="B92" s="19">
        <v>8000</v>
      </c>
      <c r="C92">
        <v>2</v>
      </c>
      <c r="D92">
        <v>6000</v>
      </c>
      <c r="E92" s="37">
        <v>2256.7742672653171</v>
      </c>
      <c r="F92">
        <f t="shared" si="2"/>
        <v>2347.7379886499107</v>
      </c>
      <c r="H92" s="40" t="s">
        <v>43</v>
      </c>
      <c r="I92" s="40">
        <v>32</v>
      </c>
      <c r="J92" s="40">
        <v>520585.11485268059</v>
      </c>
      <c r="K92" s="40">
        <v>16268.284839146268</v>
      </c>
      <c r="L92" s="40"/>
      <c r="M92" s="40"/>
    </row>
    <row r="93" spans="2:16" ht="13.5" thickBot="1" x14ac:dyDescent="0.25">
      <c r="B93" s="19">
        <v>4000</v>
      </c>
      <c r="C93">
        <v>2</v>
      </c>
      <c r="D93">
        <v>8000</v>
      </c>
      <c r="E93" s="37">
        <v>2779.8682311709813</v>
      </c>
      <c r="F93">
        <f t="shared" si="2"/>
        <v>2837.070836238036</v>
      </c>
      <c r="H93" s="41" t="s">
        <v>44</v>
      </c>
      <c r="I93" s="41">
        <v>35</v>
      </c>
      <c r="J93" s="41">
        <v>22399368.422768723</v>
      </c>
      <c r="K93" s="41"/>
      <c r="L93" s="41"/>
      <c r="M93" s="41"/>
    </row>
    <row r="94" spans="2:16" ht="13.5" thickBot="1" x14ac:dyDescent="0.25">
      <c r="B94" s="19">
        <v>6000</v>
      </c>
      <c r="C94">
        <v>2</v>
      </c>
      <c r="D94">
        <v>8000</v>
      </c>
      <c r="E94" s="37">
        <v>2372.7510135264938</v>
      </c>
      <c r="F94">
        <f t="shared" si="2"/>
        <v>2473.2455206352365</v>
      </c>
    </row>
    <row r="95" spans="2:16" x14ac:dyDescent="0.2">
      <c r="B95" s="19">
        <v>8000</v>
      </c>
      <c r="C95">
        <v>2</v>
      </c>
      <c r="D95">
        <v>8000</v>
      </c>
      <c r="E95" s="37">
        <v>2002.1504692128942</v>
      </c>
      <c r="F95">
        <f t="shared" si="2"/>
        <v>2109.420205032437</v>
      </c>
      <c r="H95" s="42"/>
      <c r="I95" s="42" t="s">
        <v>51</v>
      </c>
      <c r="J95" s="42" t="s">
        <v>39</v>
      </c>
      <c r="K95" s="42" t="s">
        <v>52</v>
      </c>
      <c r="L95" s="42" t="s">
        <v>53</v>
      </c>
      <c r="M95" s="42" t="s">
        <v>54</v>
      </c>
      <c r="N95" s="42" t="s">
        <v>55</v>
      </c>
      <c r="O95" s="42" t="s">
        <v>56</v>
      </c>
      <c r="P95" s="42" t="s">
        <v>57</v>
      </c>
    </row>
    <row r="96" spans="2:16" x14ac:dyDescent="0.2">
      <c r="B96" s="19">
        <v>4000</v>
      </c>
      <c r="C96">
        <v>2</v>
      </c>
      <c r="D96">
        <v>10000</v>
      </c>
      <c r="E96" s="37">
        <v>2500.0921754790907</v>
      </c>
      <c r="F96">
        <f t="shared" si="2"/>
        <v>2598.7530526205628</v>
      </c>
      <c r="H96" s="40" t="s">
        <v>45</v>
      </c>
      <c r="I96" s="40">
        <v>4886.4912093888706</v>
      </c>
      <c r="J96" s="40">
        <v>134.06472019498048</v>
      </c>
      <c r="K96" s="40">
        <v>36.448748054537212</v>
      </c>
      <c r="L96" s="40">
        <v>1.2416509257263502E-27</v>
      </c>
      <c r="M96" s="40">
        <v>4613.4103106420662</v>
      </c>
      <c r="N96" s="40">
        <v>5159.5721081356751</v>
      </c>
      <c r="O96" s="40">
        <v>4613.4103106420662</v>
      </c>
      <c r="P96" s="40">
        <v>5159.5721081356751</v>
      </c>
    </row>
    <row r="97" spans="2:16" x14ac:dyDescent="0.2">
      <c r="B97" s="19">
        <v>6000</v>
      </c>
      <c r="C97">
        <v>2</v>
      </c>
      <c r="D97">
        <v>10000</v>
      </c>
      <c r="E97" s="37">
        <v>2119.6072893237451</v>
      </c>
      <c r="F97">
        <f t="shared" si="2"/>
        <v>2234.9277370177633</v>
      </c>
      <c r="H97" s="40" t="s">
        <v>58</v>
      </c>
      <c r="I97" s="40">
        <v>-0.1819126578013997</v>
      </c>
      <c r="J97" s="40">
        <v>1.3017730232562573E-2</v>
      </c>
      <c r="K97" s="40">
        <v>-13.974222429833663</v>
      </c>
      <c r="L97" s="40">
        <v>3.5835089191490139E-15</v>
      </c>
      <c r="M97" s="40">
        <v>-0.20842890656827504</v>
      </c>
      <c r="N97" s="40">
        <v>-0.15539640903452437</v>
      </c>
      <c r="O97" s="40">
        <v>-0.20842890656827504</v>
      </c>
      <c r="P97" s="40">
        <v>-0.15539640903452437</v>
      </c>
    </row>
    <row r="98" spans="2:16" x14ac:dyDescent="0.2">
      <c r="B98" s="19">
        <v>8000</v>
      </c>
      <c r="C98">
        <v>2</v>
      </c>
      <c r="D98">
        <v>10000</v>
      </c>
      <c r="E98" s="37">
        <v>1777.9086515555678</v>
      </c>
      <c r="F98">
        <f t="shared" si="2"/>
        <v>1871.1024214149638</v>
      </c>
      <c r="H98" s="40" t="s">
        <v>59</v>
      </c>
      <c r="I98" s="40">
        <v>-184.24930373767114</v>
      </c>
      <c r="J98" s="40">
        <v>5.6437360768234468</v>
      </c>
      <c r="K98" s="40">
        <v>-32.646690282755941</v>
      </c>
      <c r="L98" s="40">
        <v>3.8547951036642394E-26</v>
      </c>
      <c r="M98" s="40">
        <v>-195.74521793424151</v>
      </c>
      <c r="N98" s="40">
        <v>-172.75338954110077</v>
      </c>
      <c r="O98" s="40">
        <v>-195.74521793424151</v>
      </c>
      <c r="P98" s="40">
        <v>-172.75338954110077</v>
      </c>
    </row>
    <row r="99" spans="2:16" ht="13.5" thickBot="1" x14ac:dyDescent="0.25">
      <c r="B99" s="19">
        <v>4000</v>
      </c>
      <c r="C99">
        <v>5</v>
      </c>
      <c r="D99">
        <v>6000</v>
      </c>
      <c r="E99" s="37">
        <v>2409.1583591206895</v>
      </c>
      <c r="F99">
        <f t="shared" si="2"/>
        <v>2522.6407086424961</v>
      </c>
      <c r="H99" s="41" t="s">
        <v>60</v>
      </c>
      <c r="I99" s="41">
        <v>-0.11915889180873669</v>
      </c>
      <c r="J99" s="41">
        <v>1.3017730232562572E-2</v>
      </c>
      <c r="K99" s="41">
        <v>-9.1535843561016836</v>
      </c>
      <c r="L99" s="41">
        <v>1.8846623029003295E-10</v>
      </c>
      <c r="M99" s="41">
        <v>-0.14567514057561201</v>
      </c>
      <c r="N99" s="41">
        <v>-9.2642643041861372E-2</v>
      </c>
      <c r="O99" s="41">
        <v>-0.14567514057561201</v>
      </c>
      <c r="P99" s="41">
        <v>-9.2642643041861372E-2</v>
      </c>
    </row>
    <row r="100" spans="2:16" x14ac:dyDescent="0.2">
      <c r="B100" s="19">
        <v>6000</v>
      </c>
      <c r="C100">
        <v>5</v>
      </c>
      <c r="D100">
        <v>6000</v>
      </c>
      <c r="E100" s="37">
        <v>2012.0608398774721</v>
      </c>
      <c r="F100">
        <f t="shared" si="2"/>
        <v>2158.8153930396966</v>
      </c>
    </row>
    <row r="101" spans="2:16" x14ac:dyDescent="0.2">
      <c r="B101" s="19">
        <v>8000</v>
      </c>
      <c r="C101">
        <v>5</v>
      </c>
      <c r="D101">
        <v>6000</v>
      </c>
      <c r="E101" s="37">
        <v>1650.5148359878719</v>
      </c>
      <c r="F101">
        <f t="shared" si="2"/>
        <v>1794.9900774368971</v>
      </c>
    </row>
    <row r="102" spans="2:16" x14ac:dyDescent="0.2">
      <c r="B102" s="19">
        <v>4000</v>
      </c>
      <c r="C102">
        <v>5</v>
      </c>
      <c r="D102">
        <v>8000</v>
      </c>
      <c r="E102" s="37">
        <v>2136.3878992228556</v>
      </c>
      <c r="F102">
        <f t="shared" si="2"/>
        <v>2284.3229250250224</v>
      </c>
    </row>
    <row r="103" spans="2:16" x14ac:dyDescent="0.2">
      <c r="B103" s="19">
        <v>6000</v>
      </c>
      <c r="C103">
        <v>5</v>
      </c>
      <c r="D103">
        <v>8000</v>
      </c>
      <c r="E103" s="37">
        <v>1765.7797321082951</v>
      </c>
      <c r="F103">
        <f t="shared" si="2"/>
        <v>1920.4976094222229</v>
      </c>
      <c r="H103">
        <f t="array" ref="H103:K107">LINEST(E81:E116,B81:D116,TRUE,TRUE)</f>
        <v>-0.11915889180873669</v>
      </c>
      <c r="I103">
        <v>-184.24930373767114</v>
      </c>
      <c r="J103">
        <v>-0.1819126578013997</v>
      </c>
      <c r="K103">
        <v>4886.4912093888706</v>
      </c>
    </row>
    <row r="104" spans="2:16" x14ac:dyDescent="0.2">
      <c r="B104" s="19">
        <v>8000</v>
      </c>
      <c r="C104">
        <v>5</v>
      </c>
      <c r="D104">
        <v>8000</v>
      </c>
      <c r="E104" s="37">
        <v>1438.810244963697</v>
      </c>
      <c r="F104">
        <f t="shared" si="2"/>
        <v>1556.6722938194234</v>
      </c>
      <c r="H104">
        <v>1.3017730232562572E-2</v>
      </c>
      <c r="I104">
        <v>5.6437360768234468</v>
      </c>
      <c r="J104">
        <v>1.3017730232562573E-2</v>
      </c>
      <c r="K104">
        <v>134.06472019498048</v>
      </c>
    </row>
    <row r="105" spans="2:16" x14ac:dyDescent="0.2">
      <c r="B105" s="19">
        <v>4000</v>
      </c>
      <c r="C105">
        <v>5</v>
      </c>
      <c r="D105">
        <v>10000</v>
      </c>
      <c r="E105" s="37">
        <v>1891.4506152280121</v>
      </c>
      <c r="F105">
        <f t="shared" si="2"/>
        <v>2046.0051414075492</v>
      </c>
      <c r="H105">
        <v>0.97675893779560707</v>
      </c>
      <c r="I105">
        <v>127.547186715922</v>
      </c>
      <c r="J105" t="e">
        <v>#N/A</v>
      </c>
      <c r="K105" t="e">
        <v>#N/A</v>
      </c>
    </row>
    <row r="106" spans="2:16" x14ac:dyDescent="0.2">
      <c r="B106" s="19">
        <v>6000</v>
      </c>
      <c r="C106">
        <v>5</v>
      </c>
      <c r="D106">
        <v>10000</v>
      </c>
      <c r="E106" s="37">
        <v>1553.3188642754565</v>
      </c>
      <c r="F106">
        <f t="shared" si="2"/>
        <v>1682.1798258047497</v>
      </c>
      <c r="H106">
        <v>448.29112850030896</v>
      </c>
      <c r="I106">
        <v>32</v>
      </c>
      <c r="J106" t="e">
        <v>#N/A</v>
      </c>
      <c r="K106" t="e">
        <v>#N/A</v>
      </c>
    </row>
    <row r="107" spans="2:16" x14ac:dyDescent="0.2">
      <c r="B107" s="19">
        <v>8000</v>
      </c>
      <c r="C107">
        <v>5</v>
      </c>
      <c r="D107">
        <v>10000</v>
      </c>
      <c r="E107" s="37">
        <v>1255.760837276862</v>
      </c>
      <c r="F107">
        <f t="shared" si="2"/>
        <v>1318.3545102019502</v>
      </c>
      <c r="H107">
        <v>21878783.307916041</v>
      </c>
      <c r="I107">
        <v>520585.11485268059</v>
      </c>
      <c r="J107" t="e">
        <v>#N/A</v>
      </c>
      <c r="K107" t="e">
        <v>#N/A</v>
      </c>
    </row>
    <row r="108" spans="2:16" x14ac:dyDescent="0.2">
      <c r="B108" s="19">
        <v>4000</v>
      </c>
      <c r="C108">
        <v>10</v>
      </c>
      <c r="D108">
        <v>6000</v>
      </c>
      <c r="E108" s="37">
        <v>1666.0289102451643</v>
      </c>
      <c r="F108">
        <f t="shared" si="2"/>
        <v>1601.3941899541405</v>
      </c>
    </row>
    <row r="109" spans="2:16" x14ac:dyDescent="0.2">
      <c r="B109" s="19">
        <v>6000</v>
      </c>
      <c r="C109">
        <v>10</v>
      </c>
      <c r="D109">
        <v>6000</v>
      </c>
      <c r="E109" s="37">
        <v>1203.0938261981994</v>
      </c>
      <c r="F109">
        <f t="shared" si="2"/>
        <v>1237.568874351341</v>
      </c>
    </row>
    <row r="110" spans="2:16" x14ac:dyDescent="0.2">
      <c r="B110" s="19">
        <v>8000</v>
      </c>
      <c r="C110">
        <v>10</v>
      </c>
      <c r="D110">
        <v>6000</v>
      </c>
      <c r="E110" s="37">
        <v>925.77508115126409</v>
      </c>
      <c r="F110">
        <f t="shared" si="2"/>
        <v>873.74355874854155</v>
      </c>
    </row>
    <row r="111" spans="2:16" x14ac:dyDescent="0.2">
      <c r="B111" s="19">
        <v>4000</v>
      </c>
      <c r="C111">
        <v>10</v>
      </c>
      <c r="D111">
        <v>8000</v>
      </c>
      <c r="E111" s="37">
        <v>1402.8380439219056</v>
      </c>
      <c r="F111">
        <f t="shared" si="2"/>
        <v>1363.0764063366669</v>
      </c>
    </row>
    <row r="112" spans="2:16" x14ac:dyDescent="0.2">
      <c r="B112" s="19">
        <v>6000</v>
      </c>
      <c r="C112">
        <v>10</v>
      </c>
      <c r="D112">
        <v>8000</v>
      </c>
      <c r="E112" s="37">
        <v>1022.5449936125111</v>
      </c>
      <c r="F112">
        <f t="shared" si="2"/>
        <v>999.25109073386739</v>
      </c>
    </row>
    <row r="113" spans="2:6" x14ac:dyDescent="0.2">
      <c r="B113" s="19">
        <v>8000</v>
      </c>
      <c r="C113">
        <v>10</v>
      </c>
      <c r="D113">
        <v>8000</v>
      </c>
      <c r="E113" s="37">
        <v>780.86309102498035</v>
      </c>
      <c r="F113">
        <f t="shared" si="2"/>
        <v>635.42577513106789</v>
      </c>
    </row>
    <row r="114" spans="2:6" x14ac:dyDescent="0.2">
      <c r="B114" s="19">
        <v>4000</v>
      </c>
      <c r="C114">
        <v>10</v>
      </c>
      <c r="D114">
        <v>10000</v>
      </c>
      <c r="E114" s="37">
        <v>1178.4519207619082</v>
      </c>
      <c r="F114">
        <f t="shared" si="2"/>
        <v>1124.7586227191937</v>
      </c>
    </row>
    <row r="115" spans="2:6" x14ac:dyDescent="0.2">
      <c r="B115" s="19">
        <v>6000</v>
      </c>
      <c r="C115">
        <v>10</v>
      </c>
      <c r="D115">
        <v>10000</v>
      </c>
      <c r="E115" s="37">
        <v>877.03227472086871</v>
      </c>
      <c r="F115">
        <f t="shared" si="2"/>
        <v>760.93330711639464</v>
      </c>
    </row>
    <row r="116" spans="2:6" x14ac:dyDescent="0.2">
      <c r="B116" s="19">
        <v>8000</v>
      </c>
      <c r="C116">
        <v>10</v>
      </c>
      <c r="D116">
        <v>10000</v>
      </c>
      <c r="E116" s="37">
        <v>664.73752239126077</v>
      </c>
      <c r="F116">
        <f t="shared" si="2"/>
        <v>397.10799151359424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R222"/>
  <sheetViews>
    <sheetView workbookViewId="0"/>
  </sheetViews>
  <sheetFormatPr defaultRowHeight="12.75" x14ac:dyDescent="0.2"/>
  <cols>
    <col min="1" max="1" width="3.625" customWidth="1"/>
  </cols>
  <sheetData>
    <row r="2" spans="2:15" x14ac:dyDescent="0.2">
      <c r="B2" t="s">
        <v>8</v>
      </c>
      <c r="C2" t="s">
        <v>33</v>
      </c>
      <c r="D2" t="s">
        <v>61</v>
      </c>
      <c r="E2" t="s">
        <v>16</v>
      </c>
      <c r="F2" t="s">
        <v>5</v>
      </c>
      <c r="G2" t="s">
        <v>63</v>
      </c>
      <c r="H2" t="s">
        <v>64</v>
      </c>
      <c r="J2" t="s">
        <v>34</v>
      </c>
    </row>
    <row r="3" spans="2:15" ht="13.5" thickBot="1" x14ac:dyDescent="0.25">
      <c r="B3" s="19">
        <v>4000</v>
      </c>
      <c r="C3">
        <v>6000</v>
      </c>
      <c r="D3" s="19">
        <v>3</v>
      </c>
      <c r="E3">
        <v>0</v>
      </c>
      <c r="F3" s="37">
        <v>7915.9830274481355</v>
      </c>
      <c r="G3">
        <f>$K$19*B3+$K$20*C3+$K$21*D3+$K$22*E3+$K$18</f>
        <v>7833.8860158562038</v>
      </c>
      <c r="H3" s="34">
        <f>(F3-G3)/F3*100</f>
        <v>1.0371044418269455</v>
      </c>
    </row>
    <row r="4" spans="2:15" x14ac:dyDescent="0.2">
      <c r="B4" s="19">
        <v>6000</v>
      </c>
      <c r="C4">
        <v>6000</v>
      </c>
      <c r="D4" s="19">
        <v>3</v>
      </c>
      <c r="E4">
        <v>0</v>
      </c>
      <c r="F4" s="37">
        <v>9622.5054519872119</v>
      </c>
      <c r="G4">
        <f t="shared" ref="G4:G67" si="0">$K$19*B4+$K$20*C4+$K$21*D4+$K$22*E4+$K$18</f>
        <v>9630.0368215822418</v>
      </c>
      <c r="H4" s="34">
        <f t="shared" ref="H4:H67" si="1">(F4-G4)/F4*100</f>
        <v>-7.8268280881821098E-2</v>
      </c>
      <c r="J4" s="43" t="s">
        <v>35</v>
      </c>
      <c r="K4" s="43"/>
    </row>
    <row r="5" spans="2:15" x14ac:dyDescent="0.2">
      <c r="B5" s="19">
        <v>8000</v>
      </c>
      <c r="C5">
        <v>6000</v>
      </c>
      <c r="D5" s="19">
        <v>3</v>
      </c>
      <c r="E5">
        <v>0</v>
      </c>
      <c r="F5" s="37">
        <v>11392.519659800191</v>
      </c>
      <c r="G5">
        <f t="shared" si="0"/>
        <v>11426.187627308278</v>
      </c>
      <c r="H5" s="34">
        <f t="shared" si="1"/>
        <v>-0.29552696430174336</v>
      </c>
      <c r="J5" s="40" t="s">
        <v>36</v>
      </c>
      <c r="K5" s="40">
        <v>0.99968151713832387</v>
      </c>
    </row>
    <row r="6" spans="2:15" x14ac:dyDescent="0.2">
      <c r="B6" s="19">
        <v>4000</v>
      </c>
      <c r="C6">
        <v>8000</v>
      </c>
      <c r="D6" s="19">
        <v>3</v>
      </c>
      <c r="E6">
        <v>0</v>
      </c>
      <c r="F6" s="37">
        <v>9686.2095297173819</v>
      </c>
      <c r="G6">
        <f t="shared" si="0"/>
        <v>9679.205731735914</v>
      </c>
      <c r="H6" s="34">
        <f t="shared" si="1"/>
        <v>7.2306901476580199E-2</v>
      </c>
      <c r="J6" s="40" t="s">
        <v>37</v>
      </c>
      <c r="K6" s="40">
        <v>0.99936313570798097</v>
      </c>
    </row>
    <row r="7" spans="2:15" x14ac:dyDescent="0.2">
      <c r="B7" s="19">
        <v>6000</v>
      </c>
      <c r="C7">
        <v>8000</v>
      </c>
      <c r="D7" s="19">
        <v>3</v>
      </c>
      <c r="E7">
        <v>0</v>
      </c>
      <c r="F7" s="37">
        <v>11436.253195594994</v>
      </c>
      <c r="G7">
        <f t="shared" si="0"/>
        <v>11475.356537461952</v>
      </c>
      <c r="H7" s="34">
        <f t="shared" si="1"/>
        <v>-0.34192441526232931</v>
      </c>
      <c r="J7" s="40" t="s">
        <v>38</v>
      </c>
      <c r="K7" s="40">
        <v>0.98972938000724975</v>
      </c>
    </row>
    <row r="8" spans="2:15" x14ac:dyDescent="0.2">
      <c r="B8" s="19">
        <v>8000</v>
      </c>
      <c r="C8">
        <v>8000</v>
      </c>
      <c r="D8" s="19">
        <v>3</v>
      </c>
      <c r="E8">
        <v>0</v>
      </c>
      <c r="F8" s="37">
        <v>13243.36630202517</v>
      </c>
      <c r="G8">
        <f t="shared" si="0"/>
        <v>13271.507343187988</v>
      </c>
      <c r="H8" s="34">
        <f t="shared" si="1"/>
        <v>-0.2124916016142753</v>
      </c>
      <c r="J8" s="40" t="s">
        <v>39</v>
      </c>
      <c r="K8" s="40">
        <v>273.47924069971964</v>
      </c>
    </row>
    <row r="9" spans="2:15" ht="13.5" thickBot="1" x14ac:dyDescent="0.25">
      <c r="B9" s="19">
        <v>4000</v>
      </c>
      <c r="C9">
        <v>10000</v>
      </c>
      <c r="D9" s="19">
        <v>3</v>
      </c>
      <c r="E9">
        <v>0</v>
      </c>
      <c r="F9" s="37">
        <v>11497.014896037868</v>
      </c>
      <c r="G9">
        <f t="shared" si="0"/>
        <v>11524.525447615626</v>
      </c>
      <c r="H9" s="34">
        <f t="shared" si="1"/>
        <v>-0.23928429967711431</v>
      </c>
      <c r="J9" s="41" t="s">
        <v>40</v>
      </c>
      <c r="K9" s="41">
        <v>108</v>
      </c>
    </row>
    <row r="10" spans="2:15" x14ac:dyDescent="0.2">
      <c r="B10" s="19">
        <v>6000</v>
      </c>
      <c r="C10">
        <v>10000</v>
      </c>
      <c r="D10" s="19">
        <v>3</v>
      </c>
      <c r="E10">
        <v>0</v>
      </c>
      <c r="F10" s="37">
        <v>13284.040611650027</v>
      </c>
      <c r="G10">
        <f t="shared" si="0"/>
        <v>13320.676253341662</v>
      </c>
      <c r="H10" s="34">
        <f t="shared" si="1"/>
        <v>-0.27578688414657399</v>
      </c>
    </row>
    <row r="11" spans="2:15" ht="13.5" thickBot="1" x14ac:dyDescent="0.25">
      <c r="B11" s="19">
        <v>8000</v>
      </c>
      <c r="C11">
        <v>10000</v>
      </c>
      <c r="D11" s="19">
        <v>3</v>
      </c>
      <c r="E11">
        <v>0</v>
      </c>
      <c r="F11" s="37">
        <v>15121.483999455366</v>
      </c>
      <c r="G11">
        <f t="shared" si="0"/>
        <v>15116.827059067698</v>
      </c>
      <c r="H11" s="34">
        <f t="shared" si="1"/>
        <v>3.0796847636350697E-2</v>
      </c>
      <c r="J11" t="s">
        <v>41</v>
      </c>
    </row>
    <row r="12" spans="2:15" x14ac:dyDescent="0.2">
      <c r="B12" s="19">
        <v>4000</v>
      </c>
      <c r="C12">
        <v>6000</v>
      </c>
      <c r="D12" s="19">
        <v>3</v>
      </c>
      <c r="E12">
        <v>2</v>
      </c>
      <c r="F12" s="37">
        <v>7420.5621653987382</v>
      </c>
      <c r="G12">
        <f t="shared" si="0"/>
        <v>7597.3256281519425</v>
      </c>
      <c r="H12" s="34">
        <f t="shared" si="1"/>
        <v>-2.3820764358990587</v>
      </c>
      <c r="J12" s="42"/>
      <c r="K12" s="42" t="s">
        <v>46</v>
      </c>
      <c r="L12" s="42" t="s">
        <v>47</v>
      </c>
      <c r="M12" s="42" t="s">
        <v>48</v>
      </c>
      <c r="N12" s="42" t="s">
        <v>49</v>
      </c>
      <c r="O12" s="42" t="s">
        <v>50</v>
      </c>
    </row>
    <row r="13" spans="2:15" x14ac:dyDescent="0.2">
      <c r="B13" s="19">
        <v>6000</v>
      </c>
      <c r="C13">
        <v>6000</v>
      </c>
      <c r="D13" s="19">
        <v>3</v>
      </c>
      <c r="E13">
        <v>2</v>
      </c>
      <c r="F13" s="37">
        <v>9196.476451298231</v>
      </c>
      <c r="G13">
        <f t="shared" si="0"/>
        <v>9393.4764338779805</v>
      </c>
      <c r="H13" s="34">
        <f t="shared" si="1"/>
        <v>-2.1421245802455107</v>
      </c>
      <c r="J13" s="40" t="s">
        <v>42</v>
      </c>
      <c r="K13" s="40">
        <v>4</v>
      </c>
      <c r="L13" s="40">
        <v>12205582092.620184</v>
      </c>
      <c r="M13" s="40">
        <v>3051395523.155046</v>
      </c>
      <c r="N13" s="40">
        <v>40799.023989917136</v>
      </c>
      <c r="O13" s="40">
        <v>8.1722734215551715E-164</v>
      </c>
    </row>
    <row r="14" spans="2:15" x14ac:dyDescent="0.2">
      <c r="B14" s="19">
        <v>8000</v>
      </c>
      <c r="C14">
        <v>6000</v>
      </c>
      <c r="D14" s="19">
        <v>3</v>
      </c>
      <c r="E14">
        <v>2</v>
      </c>
      <c r="F14" s="37">
        <v>11038.465705256609</v>
      </c>
      <c r="G14">
        <f t="shared" si="0"/>
        <v>11189.627239604017</v>
      </c>
      <c r="H14" s="34">
        <f t="shared" si="1"/>
        <v>-1.36940711131098</v>
      </c>
      <c r="J14" s="40" t="s">
        <v>43</v>
      </c>
      <c r="K14" s="40">
        <v>104</v>
      </c>
      <c r="L14" s="40">
        <v>7778253.0897442997</v>
      </c>
      <c r="M14" s="40">
        <v>74790.895093695188</v>
      </c>
      <c r="N14" s="40"/>
      <c r="O14" s="40"/>
    </row>
    <row r="15" spans="2:15" ht="13.5" thickBot="1" x14ac:dyDescent="0.25">
      <c r="B15" s="19">
        <v>4000</v>
      </c>
      <c r="C15">
        <v>8000</v>
      </c>
      <c r="D15" s="19">
        <v>3</v>
      </c>
      <c r="E15">
        <v>2</v>
      </c>
      <c r="F15" s="37">
        <v>9247.5174772410555</v>
      </c>
      <c r="G15">
        <f t="shared" si="0"/>
        <v>9442.6453440316527</v>
      </c>
      <c r="H15" s="34">
        <f t="shared" si="1"/>
        <v>-2.1100567505908892</v>
      </c>
      <c r="J15" s="41" t="s">
        <v>44</v>
      </c>
      <c r="K15" s="41">
        <v>108</v>
      </c>
      <c r="L15" s="41">
        <v>12213360345.709929</v>
      </c>
      <c r="M15" s="41"/>
      <c r="N15" s="41"/>
      <c r="O15" s="41"/>
    </row>
    <row r="16" spans="2:15" ht="13.5" thickBot="1" x14ac:dyDescent="0.25">
      <c r="B16" s="19">
        <v>6000</v>
      </c>
      <c r="C16">
        <v>8000</v>
      </c>
      <c r="D16" s="19">
        <v>3</v>
      </c>
      <c r="E16">
        <v>2</v>
      </c>
      <c r="F16" s="37">
        <v>11066.197569119458</v>
      </c>
      <c r="G16">
        <f t="shared" si="0"/>
        <v>11238.796149757691</v>
      </c>
      <c r="H16" s="34">
        <f t="shared" si="1"/>
        <v>-1.5596918413952194</v>
      </c>
    </row>
    <row r="17" spans="2:18" x14ac:dyDescent="0.2">
      <c r="B17" s="19">
        <v>8000</v>
      </c>
      <c r="C17">
        <v>8000</v>
      </c>
      <c r="D17" s="19">
        <v>3</v>
      </c>
      <c r="E17">
        <v>2</v>
      </c>
      <c r="F17" s="37">
        <v>12944.744882189356</v>
      </c>
      <c r="G17">
        <f t="shared" si="0"/>
        <v>13034.946955483727</v>
      </c>
      <c r="H17" s="34">
        <f t="shared" si="1"/>
        <v>-0.69682387807024215</v>
      </c>
      <c r="J17" s="42"/>
      <c r="K17" s="42" t="s">
        <v>51</v>
      </c>
      <c r="L17" s="42" t="s">
        <v>39</v>
      </c>
      <c r="M17" s="42" t="s">
        <v>52</v>
      </c>
      <c r="N17" s="42" t="s">
        <v>53</v>
      </c>
      <c r="O17" s="42" t="s">
        <v>54</v>
      </c>
      <c r="P17" s="42" t="s">
        <v>55</v>
      </c>
      <c r="Q17" s="42" t="s">
        <v>56</v>
      </c>
      <c r="R17" s="42" t="s">
        <v>57</v>
      </c>
    </row>
    <row r="18" spans="2:18" x14ac:dyDescent="0.2">
      <c r="B18" s="19">
        <v>4000</v>
      </c>
      <c r="C18">
        <v>10000</v>
      </c>
      <c r="D18" s="19">
        <v>3</v>
      </c>
      <c r="E18">
        <v>2</v>
      </c>
      <c r="F18" s="37">
        <v>11111.670774615912</v>
      </c>
      <c r="G18">
        <f t="shared" si="0"/>
        <v>11287.965059911365</v>
      </c>
      <c r="H18" s="34">
        <f t="shared" si="1"/>
        <v>-1.5865686526475291</v>
      </c>
      <c r="J18" s="40" t="s">
        <v>45</v>
      </c>
      <c r="K18" s="40">
        <v>0</v>
      </c>
      <c r="L18" s="40" t="e">
        <v>#N/A</v>
      </c>
      <c r="M18" s="40" t="e">
        <v>#N/A</v>
      </c>
      <c r="N18" s="40" t="e">
        <v>#N/A</v>
      </c>
      <c r="O18" s="40" t="e">
        <v>#N/A</v>
      </c>
      <c r="P18" s="40" t="e">
        <v>#N/A</v>
      </c>
      <c r="Q18" s="40" t="e">
        <v>#N/A</v>
      </c>
      <c r="R18" s="40" t="e">
        <v>#N/A</v>
      </c>
    </row>
    <row r="19" spans="2:18" x14ac:dyDescent="0.2">
      <c r="B19" s="19">
        <v>6000</v>
      </c>
      <c r="C19">
        <v>10000</v>
      </c>
      <c r="D19" s="19">
        <v>3</v>
      </c>
      <c r="E19">
        <v>2</v>
      </c>
      <c r="F19" s="37">
        <v>12962.28507734511</v>
      </c>
      <c r="G19">
        <f t="shared" si="0"/>
        <v>13084.115865637401</v>
      </c>
      <c r="H19" s="34">
        <f t="shared" si="1"/>
        <v>-0.93988666014776334</v>
      </c>
      <c r="J19" s="40" t="s">
        <v>58</v>
      </c>
      <c r="K19" s="40">
        <v>0.89807540286301835</v>
      </c>
      <c r="L19" s="40">
        <v>1.3858888443701489E-2</v>
      </c>
      <c r="M19" s="40">
        <v>64.801402111810106</v>
      </c>
      <c r="N19" s="40">
        <v>6.699625536693272E-86</v>
      </c>
      <c r="O19" s="40">
        <v>0.87059270700380664</v>
      </c>
      <c r="P19" s="40">
        <v>0.92555809872223005</v>
      </c>
      <c r="Q19" s="40">
        <v>0.87059270700380664</v>
      </c>
      <c r="R19" s="40">
        <v>0.92555809872223005</v>
      </c>
    </row>
    <row r="20" spans="2:18" x14ac:dyDescent="0.2">
      <c r="B20" s="19">
        <v>8000</v>
      </c>
      <c r="C20">
        <v>10000</v>
      </c>
      <c r="D20" s="19">
        <v>3</v>
      </c>
      <c r="E20">
        <v>2</v>
      </c>
      <c r="F20" s="37">
        <v>14865.38480411976</v>
      </c>
      <c r="G20">
        <f t="shared" si="0"/>
        <v>14880.266671363437</v>
      </c>
      <c r="H20" s="34">
        <f t="shared" si="1"/>
        <v>-0.10011087798785408</v>
      </c>
      <c r="J20" s="40" t="s">
        <v>59</v>
      </c>
      <c r="K20" s="40">
        <v>0.9226598579398555</v>
      </c>
      <c r="L20" s="40">
        <v>1.1809912816358337E-2</v>
      </c>
      <c r="M20" s="40">
        <v>78.12588223867715</v>
      </c>
      <c r="N20" s="40">
        <v>3.5439197064655776E-94</v>
      </c>
      <c r="O20" s="40">
        <v>0.8992403576405158</v>
      </c>
      <c r="P20" s="40">
        <v>0.9460793582391952</v>
      </c>
      <c r="Q20" s="40">
        <v>0.8992403576405158</v>
      </c>
      <c r="R20" s="40">
        <v>0.9460793582391952</v>
      </c>
    </row>
    <row r="21" spans="2:18" x14ac:dyDescent="0.2">
      <c r="B21" s="19">
        <v>4000</v>
      </c>
      <c r="C21">
        <v>6000</v>
      </c>
      <c r="D21" s="19">
        <v>3</v>
      </c>
      <c r="E21">
        <v>5</v>
      </c>
      <c r="F21" s="37">
        <v>7074.9911458217593</v>
      </c>
      <c r="G21">
        <f t="shared" si="0"/>
        <v>7242.4850465955506</v>
      </c>
      <c r="H21" s="34">
        <f t="shared" si="1"/>
        <v>-2.3674079206828011</v>
      </c>
      <c r="J21" s="40" t="s">
        <v>60</v>
      </c>
      <c r="K21" s="40">
        <v>-431.45824774500102</v>
      </c>
      <c r="L21" s="40">
        <v>18.480470167702645</v>
      </c>
      <c r="M21" s="40">
        <v>-23.346713791894651</v>
      </c>
      <c r="N21" s="40">
        <v>3.7681464310568626E-43</v>
      </c>
      <c r="O21" s="40">
        <v>-468.10571359461841</v>
      </c>
      <c r="P21" s="40">
        <v>-394.81078189538363</v>
      </c>
      <c r="Q21" s="40">
        <v>-468.10571359461841</v>
      </c>
      <c r="R21" s="40">
        <v>-394.81078189538363</v>
      </c>
    </row>
    <row r="22" spans="2:18" ht="13.5" thickBot="1" x14ac:dyDescent="0.25">
      <c r="B22" s="19">
        <v>6000</v>
      </c>
      <c r="C22">
        <v>6000</v>
      </c>
      <c r="D22" s="19">
        <v>3</v>
      </c>
      <c r="E22">
        <v>5</v>
      </c>
      <c r="F22" s="37">
        <v>8949.3740306956588</v>
      </c>
      <c r="G22">
        <f t="shared" si="0"/>
        <v>9038.6358523215877</v>
      </c>
      <c r="H22" s="34">
        <f t="shared" si="1"/>
        <v>-0.99740854857298111</v>
      </c>
      <c r="J22" s="41" t="s">
        <v>62</v>
      </c>
      <c r="K22" s="41">
        <v>-118.28019385213068</v>
      </c>
      <c r="L22" s="41">
        <v>6.9001825469696865</v>
      </c>
      <c r="M22" s="41">
        <v>-17.14160358033935</v>
      </c>
      <c r="N22" s="41">
        <v>4.5492860844069226E-32</v>
      </c>
      <c r="O22" s="41">
        <v>-131.96351478235965</v>
      </c>
      <c r="P22" s="41">
        <v>-104.59687292190171</v>
      </c>
      <c r="Q22" s="41">
        <v>-131.96351478235965</v>
      </c>
      <c r="R22" s="41">
        <v>-104.59687292190171</v>
      </c>
    </row>
    <row r="23" spans="2:18" x14ac:dyDescent="0.2">
      <c r="B23" s="19">
        <v>8000</v>
      </c>
      <c r="C23">
        <v>6000</v>
      </c>
      <c r="D23" s="19">
        <v>3</v>
      </c>
      <c r="E23">
        <v>5</v>
      </c>
      <c r="F23" s="37">
        <v>10876.786626451338</v>
      </c>
      <c r="G23">
        <f t="shared" si="0"/>
        <v>10834.786658047624</v>
      </c>
      <c r="H23" s="34">
        <f t="shared" si="1"/>
        <v>0.38614316751947519</v>
      </c>
    </row>
    <row r="24" spans="2:18" x14ac:dyDescent="0.2">
      <c r="B24" s="19">
        <v>4000</v>
      </c>
      <c r="C24">
        <v>8000</v>
      </c>
      <c r="D24" s="19">
        <v>3</v>
      </c>
      <c r="E24">
        <v>5</v>
      </c>
      <c r="F24" s="37">
        <v>8964.608437558376</v>
      </c>
      <c r="G24">
        <f t="shared" si="0"/>
        <v>9087.8047624752598</v>
      </c>
      <c r="H24" s="34">
        <f t="shared" si="1"/>
        <v>-1.3742521580835265</v>
      </c>
    </row>
    <row r="25" spans="2:18" x14ac:dyDescent="0.2">
      <c r="B25" s="19">
        <v>6000</v>
      </c>
      <c r="C25">
        <v>8000</v>
      </c>
      <c r="D25" s="19">
        <v>3</v>
      </c>
      <c r="E25">
        <v>5</v>
      </c>
      <c r="F25" s="37">
        <v>10868.355666097223</v>
      </c>
      <c r="G25">
        <f t="shared" si="0"/>
        <v>10883.955568201298</v>
      </c>
      <c r="H25" s="34">
        <f t="shared" si="1"/>
        <v>-0.14353507175641669</v>
      </c>
    </row>
    <row r="26" spans="2:18" x14ac:dyDescent="0.2">
      <c r="B26" s="19">
        <v>8000</v>
      </c>
      <c r="C26">
        <v>8000</v>
      </c>
      <c r="D26" s="19">
        <v>3</v>
      </c>
      <c r="E26">
        <v>5</v>
      </c>
      <c r="F26" s="37">
        <v>12816.985693384602</v>
      </c>
      <c r="G26">
        <f t="shared" si="0"/>
        <v>12680.106373927334</v>
      </c>
      <c r="H26" s="34">
        <f t="shared" si="1"/>
        <v>1.0679525024976617</v>
      </c>
      <c r="J26" s="19"/>
      <c r="K26" s="19"/>
      <c r="L26" s="19"/>
      <c r="M26" s="19"/>
      <c r="N26" s="19"/>
      <c r="O26" s="19"/>
      <c r="P26" s="19"/>
      <c r="Q26" s="19"/>
      <c r="R26" s="19"/>
    </row>
    <row r="27" spans="2:18" x14ac:dyDescent="0.2">
      <c r="B27" s="19">
        <v>4000</v>
      </c>
      <c r="C27">
        <v>10000</v>
      </c>
      <c r="D27" s="19">
        <v>3</v>
      </c>
      <c r="E27">
        <v>5</v>
      </c>
      <c r="F27" s="37">
        <v>10874.282939109096</v>
      </c>
      <c r="G27">
        <f t="shared" si="0"/>
        <v>10933.124478354972</v>
      </c>
      <c r="H27" s="34">
        <f t="shared" si="1"/>
        <v>-0.54110730404350027</v>
      </c>
      <c r="J27" s="19"/>
      <c r="K27" s="19"/>
      <c r="L27" s="19"/>
      <c r="M27" s="19"/>
      <c r="N27" s="19"/>
      <c r="O27" s="19"/>
      <c r="P27" s="19"/>
      <c r="Q27" s="19"/>
      <c r="R27" s="19"/>
    </row>
    <row r="28" spans="2:18" x14ac:dyDescent="0.2">
      <c r="B28" s="19">
        <v>6000</v>
      </c>
      <c r="C28">
        <v>10000</v>
      </c>
      <c r="D28" s="19">
        <v>3</v>
      </c>
      <c r="E28">
        <v>5</v>
      </c>
      <c r="F28" s="37">
        <v>12799.035179291932</v>
      </c>
      <c r="G28">
        <f t="shared" si="0"/>
        <v>12729.275284081008</v>
      </c>
      <c r="H28" s="34">
        <f t="shared" si="1"/>
        <v>0.54504026462706423</v>
      </c>
      <c r="J28" s="19"/>
      <c r="K28" s="19"/>
      <c r="L28" s="19"/>
      <c r="M28" s="19"/>
      <c r="N28" s="19"/>
      <c r="O28" s="19"/>
      <c r="P28" s="19"/>
      <c r="Q28" s="19"/>
      <c r="R28" s="19"/>
    </row>
    <row r="29" spans="2:18" x14ac:dyDescent="0.2">
      <c r="B29" s="19">
        <v>8000</v>
      </c>
      <c r="C29">
        <v>10000</v>
      </c>
      <c r="D29" s="19">
        <v>3</v>
      </c>
      <c r="E29">
        <v>5</v>
      </c>
      <c r="F29" s="37">
        <v>14767.381876246654</v>
      </c>
      <c r="G29">
        <f t="shared" si="0"/>
        <v>14525.426089807044</v>
      </c>
      <c r="H29" s="34">
        <f t="shared" si="1"/>
        <v>1.6384474138154186</v>
      </c>
      <c r="J29" s="19"/>
      <c r="K29" s="19"/>
      <c r="L29" s="19"/>
      <c r="M29" s="19"/>
      <c r="N29" s="19"/>
      <c r="O29" s="19"/>
      <c r="P29" s="19"/>
      <c r="Q29" s="19"/>
      <c r="R29" s="19"/>
    </row>
    <row r="30" spans="2:18" x14ac:dyDescent="0.2">
      <c r="B30" s="19">
        <v>4000</v>
      </c>
      <c r="C30">
        <v>6000</v>
      </c>
      <c r="D30" s="19">
        <v>3</v>
      </c>
      <c r="E30">
        <v>10</v>
      </c>
      <c r="F30" s="37">
        <v>6863.579527175254</v>
      </c>
      <c r="G30">
        <f t="shared" si="0"/>
        <v>6651.0840773348973</v>
      </c>
      <c r="H30" s="34">
        <f t="shared" si="1"/>
        <v>3.0959858336166239</v>
      </c>
      <c r="J30" s="19"/>
      <c r="K30" s="19"/>
      <c r="L30" s="19"/>
      <c r="M30" s="19"/>
      <c r="N30" s="19"/>
      <c r="O30" s="19"/>
      <c r="P30" s="19"/>
      <c r="Q30" s="19"/>
      <c r="R30" s="19"/>
    </row>
    <row r="31" spans="2:18" x14ac:dyDescent="0.2">
      <c r="B31" s="19">
        <v>6000</v>
      </c>
      <c r="C31">
        <v>6000</v>
      </c>
      <c r="D31" s="19">
        <v>3</v>
      </c>
      <c r="E31">
        <v>10</v>
      </c>
      <c r="F31" s="37">
        <v>8831.0754805049128</v>
      </c>
      <c r="G31">
        <f t="shared" si="0"/>
        <v>8447.2348830609353</v>
      </c>
      <c r="H31" s="34">
        <f t="shared" si="1"/>
        <v>4.3464762394039864</v>
      </c>
      <c r="J31" s="19"/>
      <c r="K31" s="19"/>
      <c r="L31" s="19"/>
      <c r="M31" s="19"/>
      <c r="N31" s="19"/>
      <c r="O31" s="19"/>
      <c r="P31" s="19"/>
      <c r="Q31" s="19"/>
      <c r="R31" s="19"/>
    </row>
    <row r="32" spans="2:18" x14ac:dyDescent="0.2">
      <c r="B32" s="19">
        <v>8000</v>
      </c>
      <c r="C32">
        <v>6000</v>
      </c>
      <c r="D32" s="19">
        <v>3</v>
      </c>
      <c r="E32">
        <v>10</v>
      </c>
      <c r="F32" s="37">
        <v>10833.229304822451</v>
      </c>
      <c r="G32">
        <f t="shared" si="0"/>
        <v>10243.385688786972</v>
      </c>
      <c r="H32" s="34">
        <f t="shared" si="1"/>
        <v>5.4447625859161723</v>
      </c>
      <c r="J32" s="19"/>
      <c r="K32" s="19"/>
      <c r="L32" s="19"/>
      <c r="M32" s="19"/>
      <c r="N32" s="19"/>
      <c r="O32" s="19"/>
      <c r="P32" s="19"/>
      <c r="Q32" s="19"/>
      <c r="R32" s="19"/>
    </row>
    <row r="33" spans="2:18" x14ac:dyDescent="0.2">
      <c r="B33" s="19">
        <v>4000</v>
      </c>
      <c r="C33">
        <v>8000</v>
      </c>
      <c r="D33" s="19">
        <v>3</v>
      </c>
      <c r="E33">
        <v>10</v>
      </c>
      <c r="F33" s="37">
        <v>8800.4013357814274</v>
      </c>
      <c r="G33">
        <f t="shared" si="0"/>
        <v>8496.4037932146075</v>
      </c>
      <c r="H33" s="34">
        <f t="shared" si="1"/>
        <v>3.4543599884564422</v>
      </c>
      <c r="J33" s="19"/>
      <c r="K33" s="19"/>
      <c r="L33" s="19"/>
      <c r="M33" s="19"/>
      <c r="N33" s="19"/>
      <c r="O33" s="19"/>
      <c r="P33" s="19"/>
      <c r="Q33" s="19"/>
      <c r="R33" s="19"/>
    </row>
    <row r="34" spans="2:18" x14ac:dyDescent="0.2">
      <c r="B34" s="19">
        <v>6000</v>
      </c>
      <c r="C34">
        <v>8000</v>
      </c>
      <c r="D34" s="19">
        <v>3</v>
      </c>
      <c r="E34">
        <v>10</v>
      </c>
      <c r="F34" s="37">
        <v>10786.678970849423</v>
      </c>
      <c r="G34">
        <f t="shared" si="0"/>
        <v>10292.554598940646</v>
      </c>
      <c r="H34" s="34">
        <f t="shared" si="1"/>
        <v>4.5808758492222639</v>
      </c>
      <c r="J34" s="19"/>
      <c r="K34" s="19"/>
      <c r="L34" s="19"/>
      <c r="M34" s="19"/>
      <c r="N34" s="19"/>
      <c r="O34" s="19"/>
      <c r="P34" s="19"/>
      <c r="Q34" s="19"/>
      <c r="R34" s="19"/>
    </row>
    <row r="35" spans="2:18" x14ac:dyDescent="0.2">
      <c r="B35" s="19">
        <v>8000</v>
      </c>
      <c r="C35">
        <v>8000</v>
      </c>
      <c r="D35" s="19">
        <v>3</v>
      </c>
      <c r="E35">
        <v>10</v>
      </c>
      <c r="F35" s="37">
        <v>12790.802056682471</v>
      </c>
      <c r="G35">
        <f t="shared" si="0"/>
        <v>12088.705404666682</v>
      </c>
      <c r="H35" s="34">
        <f t="shared" si="1"/>
        <v>5.489074484183603</v>
      </c>
      <c r="J35" s="19"/>
      <c r="K35" s="19"/>
      <c r="L35" s="19"/>
      <c r="M35" s="19"/>
      <c r="N35" s="19"/>
      <c r="O35" s="19"/>
      <c r="P35" s="19"/>
      <c r="Q35" s="19"/>
      <c r="R35" s="19"/>
    </row>
    <row r="36" spans="2:18" x14ac:dyDescent="0.2">
      <c r="B36" s="19">
        <v>4000</v>
      </c>
      <c r="C36">
        <v>10000</v>
      </c>
      <c r="D36" s="19">
        <v>3</v>
      </c>
      <c r="E36">
        <v>10</v>
      </c>
      <c r="F36" s="37">
        <v>10744.695619190257</v>
      </c>
      <c r="G36">
        <f t="shared" si="0"/>
        <v>10341.72350909432</v>
      </c>
      <c r="H36" s="34">
        <f t="shared" si="1"/>
        <v>3.7504283450917018</v>
      </c>
      <c r="J36" s="19"/>
      <c r="K36" s="19"/>
      <c r="L36" s="19"/>
      <c r="M36" s="19"/>
      <c r="N36" s="19"/>
      <c r="O36" s="19"/>
      <c r="P36" s="19"/>
      <c r="Q36" s="19"/>
      <c r="R36" s="19"/>
    </row>
    <row r="37" spans="2:18" x14ac:dyDescent="0.2">
      <c r="B37" s="19">
        <v>6000</v>
      </c>
      <c r="C37">
        <v>10000</v>
      </c>
      <c r="D37" s="19">
        <v>3</v>
      </c>
      <c r="E37">
        <v>10</v>
      </c>
      <c r="F37" s="37">
        <v>12744.098761398345</v>
      </c>
      <c r="G37">
        <f t="shared" si="0"/>
        <v>12137.874314820356</v>
      </c>
      <c r="H37" s="34">
        <f t="shared" si="1"/>
        <v>4.7569032375536269</v>
      </c>
      <c r="J37" s="19"/>
      <c r="K37" s="19"/>
      <c r="L37" s="19"/>
      <c r="M37" s="19"/>
      <c r="N37" s="19"/>
      <c r="O37" s="19"/>
      <c r="P37" s="19"/>
      <c r="Q37" s="19"/>
      <c r="R37" s="19"/>
    </row>
    <row r="38" spans="2:18" x14ac:dyDescent="0.2">
      <c r="B38" s="19">
        <v>8000</v>
      </c>
      <c r="C38">
        <v>10000</v>
      </c>
      <c r="D38" s="19">
        <v>3</v>
      </c>
      <c r="E38">
        <v>10</v>
      </c>
      <c r="F38" s="37">
        <v>14749.738361303331</v>
      </c>
      <c r="G38">
        <f t="shared" si="0"/>
        <v>13934.025120546392</v>
      </c>
      <c r="H38" s="34">
        <f t="shared" si="1"/>
        <v>5.5303573580464516</v>
      </c>
      <c r="J38" s="19"/>
      <c r="K38" s="19"/>
      <c r="L38" s="19"/>
      <c r="M38" s="19"/>
      <c r="N38" s="19"/>
      <c r="O38" s="19"/>
      <c r="P38" s="19"/>
      <c r="Q38" s="19"/>
      <c r="R38" s="19"/>
    </row>
    <row r="39" spans="2:18" x14ac:dyDescent="0.2">
      <c r="B39" s="19">
        <v>4000</v>
      </c>
      <c r="C39">
        <v>6000</v>
      </c>
      <c r="D39" s="19">
        <v>4</v>
      </c>
      <c r="E39">
        <v>0</v>
      </c>
      <c r="F39" s="37">
        <v>7669.0852285043029</v>
      </c>
      <c r="G39">
        <f t="shared" si="0"/>
        <v>7402.4277681112026</v>
      </c>
      <c r="H39" s="34">
        <f t="shared" si="1"/>
        <v>3.4770439035152876</v>
      </c>
      <c r="J39" s="19"/>
      <c r="K39" s="19"/>
      <c r="L39" s="19"/>
      <c r="M39" s="19"/>
      <c r="N39" s="19"/>
      <c r="O39" s="19"/>
      <c r="P39" s="19"/>
      <c r="Q39" s="19"/>
      <c r="R39" s="19"/>
    </row>
    <row r="40" spans="2:18" x14ac:dyDescent="0.2">
      <c r="B40" s="19">
        <v>6000</v>
      </c>
      <c r="C40">
        <v>6000</v>
      </c>
      <c r="D40" s="19">
        <v>4</v>
      </c>
      <c r="E40">
        <v>0</v>
      </c>
      <c r="F40" s="37">
        <v>9308.6530118936043</v>
      </c>
      <c r="G40">
        <f t="shared" si="0"/>
        <v>9198.5785738372397</v>
      </c>
      <c r="H40" s="34">
        <f t="shared" si="1"/>
        <v>1.1824958768548284</v>
      </c>
      <c r="J40" s="44"/>
      <c r="K40" s="44"/>
      <c r="L40" s="19"/>
      <c r="M40" s="19"/>
      <c r="N40" s="19"/>
      <c r="O40" s="19"/>
      <c r="P40" s="19"/>
      <c r="Q40" s="19"/>
      <c r="R40" s="19"/>
    </row>
    <row r="41" spans="2:18" x14ac:dyDescent="0.2">
      <c r="B41" s="19">
        <v>8000</v>
      </c>
      <c r="C41">
        <v>6000</v>
      </c>
      <c r="D41" s="19">
        <v>4</v>
      </c>
      <c r="E41">
        <v>0</v>
      </c>
      <c r="F41" s="37">
        <v>11002.366217686964</v>
      </c>
      <c r="G41">
        <f t="shared" si="0"/>
        <v>10994.729379563276</v>
      </c>
      <c r="H41" s="34">
        <f t="shared" si="1"/>
        <v>6.9410870103662967E-2</v>
      </c>
      <c r="J41" s="40"/>
      <c r="K41" s="40"/>
      <c r="L41" s="19"/>
      <c r="M41" s="19"/>
      <c r="N41" s="19"/>
      <c r="O41" s="19"/>
      <c r="P41" s="19"/>
      <c r="Q41" s="19"/>
      <c r="R41" s="19"/>
    </row>
    <row r="42" spans="2:18" x14ac:dyDescent="0.2">
      <c r="B42" s="19">
        <v>4000</v>
      </c>
      <c r="C42">
        <v>8000</v>
      </c>
      <c r="D42" s="19">
        <v>4</v>
      </c>
      <c r="E42">
        <v>0</v>
      </c>
      <c r="F42" s="37">
        <v>9381.8661848040283</v>
      </c>
      <c r="G42">
        <f t="shared" si="0"/>
        <v>9247.7474839909119</v>
      </c>
      <c r="H42" s="34">
        <f t="shared" si="1"/>
        <v>1.4295524810442388</v>
      </c>
      <c r="J42" s="40"/>
      <c r="K42" s="40"/>
      <c r="L42" s="19"/>
      <c r="M42" s="19"/>
      <c r="N42" s="19"/>
      <c r="O42" s="19"/>
      <c r="P42" s="19"/>
      <c r="Q42" s="19"/>
      <c r="R42" s="19"/>
    </row>
    <row r="43" spans="2:18" x14ac:dyDescent="0.2">
      <c r="B43" s="19">
        <v>6000</v>
      </c>
      <c r="C43">
        <v>8000</v>
      </c>
      <c r="D43" s="19">
        <v>4</v>
      </c>
      <c r="E43">
        <v>0</v>
      </c>
      <c r="F43" s="37">
        <v>11056.658166372918</v>
      </c>
      <c r="G43">
        <f t="shared" si="0"/>
        <v>11043.898289716952</v>
      </c>
      <c r="H43" s="34">
        <f t="shared" si="1"/>
        <v>0.11540446004537797</v>
      </c>
      <c r="J43" s="40"/>
      <c r="K43" s="40"/>
      <c r="L43" s="19"/>
      <c r="M43" s="19"/>
      <c r="N43" s="19"/>
      <c r="O43" s="19"/>
      <c r="P43" s="19"/>
      <c r="Q43" s="19"/>
      <c r="R43" s="19"/>
    </row>
    <row r="44" spans="2:18" x14ac:dyDescent="0.2">
      <c r="B44" s="19">
        <v>8000</v>
      </c>
      <c r="C44">
        <v>8000</v>
      </c>
      <c r="D44" s="19">
        <v>4</v>
      </c>
      <c r="E44">
        <v>0</v>
      </c>
      <c r="F44" s="37">
        <v>12783.668262962996</v>
      </c>
      <c r="G44">
        <f t="shared" si="0"/>
        <v>12840.049095442988</v>
      </c>
      <c r="H44" s="34">
        <f t="shared" si="1"/>
        <v>-0.44103798158889396</v>
      </c>
      <c r="J44" s="40"/>
      <c r="K44" s="40"/>
      <c r="L44" s="19"/>
      <c r="M44" s="19"/>
      <c r="N44" s="19"/>
      <c r="O44" s="19"/>
      <c r="P44" s="19"/>
      <c r="Q44" s="19"/>
      <c r="R44" s="19"/>
    </row>
    <row r="45" spans="2:18" x14ac:dyDescent="0.2">
      <c r="B45" s="19">
        <v>4000</v>
      </c>
      <c r="C45">
        <v>10000</v>
      </c>
      <c r="D45" s="19">
        <v>4</v>
      </c>
      <c r="E45">
        <v>0</v>
      </c>
      <c r="F45" s="37">
        <v>11128.165185997983</v>
      </c>
      <c r="G45">
        <f t="shared" si="0"/>
        <v>11093.067199870624</v>
      </c>
      <c r="H45" s="34">
        <f t="shared" si="1"/>
        <v>0.31539778158146942</v>
      </c>
      <c r="J45" s="40"/>
      <c r="K45" s="40"/>
      <c r="L45" s="19"/>
      <c r="M45" s="19"/>
      <c r="N45" s="19"/>
      <c r="O45" s="19"/>
      <c r="P45" s="19"/>
      <c r="Q45" s="19"/>
      <c r="R45" s="19"/>
    </row>
    <row r="46" spans="2:18" x14ac:dyDescent="0.2">
      <c r="B46" s="19">
        <v>6000</v>
      </c>
      <c r="C46">
        <v>10000</v>
      </c>
      <c r="D46" s="19">
        <v>4</v>
      </c>
      <c r="E46">
        <v>0</v>
      </c>
      <c r="F46" s="37">
        <v>12837.810857188495</v>
      </c>
      <c r="G46">
        <f t="shared" si="0"/>
        <v>12889.21800559666</v>
      </c>
      <c r="H46" s="34">
        <f t="shared" si="1"/>
        <v>-0.40043547128114765</v>
      </c>
      <c r="J46" s="19"/>
      <c r="K46" s="19"/>
      <c r="L46" s="19"/>
      <c r="M46" s="19"/>
      <c r="N46" s="19"/>
      <c r="O46" s="19"/>
      <c r="P46" s="19"/>
      <c r="Q46" s="19"/>
      <c r="R46" s="19"/>
    </row>
    <row r="47" spans="2:18" x14ac:dyDescent="0.2">
      <c r="B47" s="19">
        <v>8000</v>
      </c>
      <c r="C47">
        <v>10000</v>
      </c>
      <c r="D47" s="19">
        <v>4</v>
      </c>
      <c r="E47">
        <v>0</v>
      </c>
      <c r="F47" s="37">
        <v>14596.981325602423</v>
      </c>
      <c r="G47">
        <f t="shared" si="0"/>
        <v>14685.368811322696</v>
      </c>
      <c r="H47" s="34">
        <f t="shared" si="1"/>
        <v>-0.60551893400895229</v>
      </c>
      <c r="J47" s="19"/>
      <c r="K47" s="19"/>
      <c r="L47" s="19"/>
      <c r="M47" s="19"/>
      <c r="N47" s="19"/>
      <c r="O47" s="19"/>
      <c r="P47" s="19"/>
      <c r="Q47" s="19"/>
      <c r="R47" s="19"/>
    </row>
    <row r="48" spans="2:18" x14ac:dyDescent="0.2">
      <c r="B48" s="19">
        <v>4000</v>
      </c>
      <c r="C48">
        <v>6000</v>
      </c>
      <c r="D48" s="19">
        <v>4</v>
      </c>
      <c r="E48">
        <v>2</v>
      </c>
      <c r="F48" s="37">
        <v>7108.3081360191582</v>
      </c>
      <c r="G48">
        <f t="shared" si="0"/>
        <v>7165.8673804069413</v>
      </c>
      <c r="H48" s="34">
        <f t="shared" si="1"/>
        <v>-0.80974605048590109</v>
      </c>
      <c r="J48" s="45"/>
      <c r="K48" s="45"/>
      <c r="L48" s="45"/>
      <c r="M48" s="45"/>
      <c r="N48" s="45"/>
      <c r="O48" s="45"/>
      <c r="P48" s="19"/>
      <c r="Q48" s="19"/>
      <c r="R48" s="19"/>
    </row>
    <row r="49" spans="2:18" x14ac:dyDescent="0.2">
      <c r="B49" s="19">
        <v>6000</v>
      </c>
      <c r="C49">
        <v>6000</v>
      </c>
      <c r="D49" s="19">
        <v>4</v>
      </c>
      <c r="E49">
        <v>2</v>
      </c>
      <c r="F49" s="37">
        <v>8784.7703820972147</v>
      </c>
      <c r="G49">
        <f t="shared" si="0"/>
        <v>8962.0181861329784</v>
      </c>
      <c r="H49" s="34">
        <f t="shared" si="1"/>
        <v>-2.0176714510032392</v>
      </c>
      <c r="J49" s="40"/>
      <c r="K49" s="40"/>
      <c r="L49" s="40"/>
      <c r="M49" s="40"/>
      <c r="N49" s="40"/>
      <c r="O49" s="40"/>
      <c r="P49" s="19"/>
      <c r="Q49" s="19"/>
      <c r="R49" s="19"/>
    </row>
    <row r="50" spans="2:18" x14ac:dyDescent="0.2">
      <c r="B50" s="19">
        <v>8000</v>
      </c>
      <c r="C50">
        <v>6000</v>
      </c>
      <c r="D50" s="19">
        <v>4</v>
      </c>
      <c r="E50">
        <v>2</v>
      </c>
      <c r="F50" s="37">
        <v>10521.227667484354</v>
      </c>
      <c r="G50">
        <f t="shared" si="0"/>
        <v>10758.168991859015</v>
      </c>
      <c r="H50" s="34">
        <f t="shared" si="1"/>
        <v>-2.2520311494344218</v>
      </c>
      <c r="J50" s="40"/>
      <c r="K50" s="40"/>
      <c r="L50" s="40"/>
      <c r="M50" s="40"/>
      <c r="N50" s="40"/>
      <c r="O50" s="40"/>
      <c r="P50" s="19"/>
      <c r="Q50" s="19"/>
      <c r="R50" s="19"/>
    </row>
    <row r="51" spans="2:18" x14ac:dyDescent="0.2">
      <c r="B51" s="19">
        <v>4000</v>
      </c>
      <c r="C51">
        <v>8000</v>
      </c>
      <c r="D51" s="19">
        <v>4</v>
      </c>
      <c r="E51">
        <v>2</v>
      </c>
      <c r="F51" s="37">
        <v>8851.3475742598948</v>
      </c>
      <c r="G51">
        <f t="shared" si="0"/>
        <v>9011.1870962866506</v>
      </c>
      <c r="H51" s="34">
        <f t="shared" si="1"/>
        <v>-1.8058213247842174</v>
      </c>
      <c r="J51" s="40"/>
      <c r="K51" s="40"/>
      <c r="L51" s="40"/>
      <c r="M51" s="40"/>
      <c r="N51" s="40"/>
      <c r="O51" s="40"/>
      <c r="P51" s="19"/>
      <c r="Q51" s="19"/>
      <c r="R51" s="19"/>
    </row>
    <row r="52" spans="2:18" x14ac:dyDescent="0.2">
      <c r="B52" s="19">
        <v>6000</v>
      </c>
      <c r="C52">
        <v>8000</v>
      </c>
      <c r="D52" s="19">
        <v>4</v>
      </c>
      <c r="E52">
        <v>2</v>
      </c>
      <c r="F52" s="37">
        <v>10569.45924998076</v>
      </c>
      <c r="G52">
        <f t="shared" si="0"/>
        <v>10807.33790201269</v>
      </c>
      <c r="H52" s="34">
        <f t="shared" si="1"/>
        <v>-2.2506227272919661</v>
      </c>
      <c r="J52" s="19"/>
      <c r="K52" s="19"/>
      <c r="L52" s="19"/>
      <c r="M52" s="19"/>
      <c r="N52" s="19"/>
      <c r="O52" s="19"/>
      <c r="P52" s="19"/>
      <c r="Q52" s="19"/>
      <c r="R52" s="19"/>
    </row>
    <row r="53" spans="2:18" x14ac:dyDescent="0.2">
      <c r="B53" s="19">
        <v>8000</v>
      </c>
      <c r="C53">
        <v>8000</v>
      </c>
      <c r="D53" s="19">
        <v>4</v>
      </c>
      <c r="E53">
        <v>2</v>
      </c>
      <c r="F53" s="37">
        <v>12342.878546685641</v>
      </c>
      <c r="G53">
        <f t="shared" si="0"/>
        <v>12603.488707738727</v>
      </c>
      <c r="H53" s="34">
        <f t="shared" si="1"/>
        <v>-2.1114212545100832</v>
      </c>
      <c r="J53" s="45"/>
      <c r="K53" s="45"/>
      <c r="L53" s="45"/>
      <c r="M53" s="45"/>
      <c r="N53" s="45"/>
      <c r="O53" s="45"/>
      <c r="P53" s="45"/>
      <c r="Q53" s="45"/>
      <c r="R53" s="45"/>
    </row>
    <row r="54" spans="2:18" x14ac:dyDescent="0.2">
      <c r="B54" s="19">
        <v>4000</v>
      </c>
      <c r="C54">
        <v>10000</v>
      </c>
      <c r="D54" s="19">
        <v>4</v>
      </c>
      <c r="E54">
        <v>2</v>
      </c>
      <c r="F54" s="37">
        <v>10634.934336206998</v>
      </c>
      <c r="G54">
        <f t="shared" si="0"/>
        <v>10856.506812166363</v>
      </c>
      <c r="H54" s="34">
        <f t="shared" si="1"/>
        <v>-2.0834400002359574</v>
      </c>
      <c r="J54" s="40"/>
      <c r="K54" s="40"/>
      <c r="L54" s="40"/>
      <c r="M54" s="40"/>
      <c r="N54" s="40"/>
      <c r="O54" s="40"/>
      <c r="P54" s="40"/>
      <c r="Q54" s="40"/>
      <c r="R54" s="40"/>
    </row>
    <row r="55" spans="2:18" x14ac:dyDescent="0.2">
      <c r="B55" s="19">
        <v>6000</v>
      </c>
      <c r="C55">
        <v>10000</v>
      </c>
      <c r="D55" s="19">
        <v>4</v>
      </c>
      <c r="E55">
        <v>2</v>
      </c>
      <c r="F55" s="37">
        <v>12390.062750717771</v>
      </c>
      <c r="G55">
        <f t="shared" si="0"/>
        <v>12652.657617892399</v>
      </c>
      <c r="H55" s="34">
        <f t="shared" si="1"/>
        <v>-2.1193990091730228</v>
      </c>
      <c r="J55" s="40"/>
      <c r="K55" s="40"/>
      <c r="L55" s="40"/>
      <c r="M55" s="40"/>
      <c r="N55" s="40"/>
      <c r="O55" s="40"/>
      <c r="P55" s="40"/>
      <c r="Q55" s="40"/>
      <c r="R55" s="40"/>
    </row>
    <row r="56" spans="2:18" x14ac:dyDescent="0.2">
      <c r="B56" s="19">
        <v>8000</v>
      </c>
      <c r="C56">
        <v>10000</v>
      </c>
      <c r="D56" s="19">
        <v>4</v>
      </c>
      <c r="E56">
        <v>2</v>
      </c>
      <c r="F56" s="37">
        <v>14197.961899387881</v>
      </c>
      <c r="G56">
        <f t="shared" si="0"/>
        <v>14448.808423618435</v>
      </c>
      <c r="H56" s="34">
        <f t="shared" si="1"/>
        <v>-1.7667784010701464</v>
      </c>
      <c r="J56" s="40"/>
      <c r="K56" s="40"/>
      <c r="L56" s="40"/>
      <c r="M56" s="40"/>
      <c r="N56" s="40"/>
      <c r="O56" s="40"/>
      <c r="P56" s="40"/>
      <c r="Q56" s="40"/>
      <c r="R56" s="40"/>
    </row>
    <row r="57" spans="2:18" x14ac:dyDescent="0.2">
      <c r="B57" s="19">
        <v>4000</v>
      </c>
      <c r="C57">
        <v>6000</v>
      </c>
      <c r="D57" s="19">
        <v>4</v>
      </c>
      <c r="E57">
        <v>5</v>
      </c>
      <c r="F57" s="37">
        <v>6589.3961991124243</v>
      </c>
      <c r="G57">
        <f t="shared" si="0"/>
        <v>6811.0267988505493</v>
      </c>
      <c r="H57" s="34">
        <f t="shared" si="1"/>
        <v>-3.3634432206091684</v>
      </c>
      <c r="J57" s="40"/>
      <c r="K57" s="40"/>
      <c r="L57" s="40"/>
      <c r="M57" s="40"/>
      <c r="N57" s="40"/>
      <c r="O57" s="40"/>
      <c r="P57" s="40"/>
      <c r="Q57" s="40"/>
      <c r="R57" s="40"/>
    </row>
    <row r="58" spans="2:18" x14ac:dyDescent="0.2">
      <c r="B58" s="19">
        <v>6000</v>
      </c>
      <c r="C58">
        <v>6000</v>
      </c>
      <c r="D58" s="19">
        <v>4</v>
      </c>
      <c r="E58">
        <v>5</v>
      </c>
      <c r="F58" s="37">
        <v>8341.7168768751926</v>
      </c>
      <c r="G58">
        <f t="shared" si="0"/>
        <v>8607.1776045765855</v>
      </c>
      <c r="H58" s="34">
        <f t="shared" si="1"/>
        <v>-3.1823272309481032</v>
      </c>
    </row>
    <row r="59" spans="2:18" x14ac:dyDescent="0.2">
      <c r="B59" s="19">
        <v>8000</v>
      </c>
      <c r="C59">
        <v>6000</v>
      </c>
      <c r="D59" s="19">
        <v>4</v>
      </c>
      <c r="E59">
        <v>5</v>
      </c>
      <c r="F59" s="37">
        <v>10153.992414681974</v>
      </c>
      <c r="G59">
        <f t="shared" si="0"/>
        <v>10403.328410302622</v>
      </c>
      <c r="H59" s="34">
        <f t="shared" si="1"/>
        <v>-2.4555464041919617</v>
      </c>
    </row>
    <row r="60" spans="2:18" x14ac:dyDescent="0.2">
      <c r="B60" s="19">
        <v>4000</v>
      </c>
      <c r="C60">
        <v>8000</v>
      </c>
      <c r="D60" s="19">
        <v>4</v>
      </c>
      <c r="E60">
        <v>5</v>
      </c>
      <c r="F60" s="37">
        <v>8394.8370560197345</v>
      </c>
      <c r="G60">
        <f t="shared" si="0"/>
        <v>8656.3465147302577</v>
      </c>
      <c r="H60" s="34">
        <f t="shared" si="1"/>
        <v>-3.1151225088163095</v>
      </c>
    </row>
    <row r="61" spans="2:18" x14ac:dyDescent="0.2">
      <c r="B61" s="19">
        <v>6000</v>
      </c>
      <c r="C61">
        <v>8000</v>
      </c>
      <c r="D61" s="19">
        <v>4</v>
      </c>
      <c r="E61">
        <v>5</v>
      </c>
      <c r="F61" s="37">
        <v>10188.338446671356</v>
      </c>
      <c r="G61">
        <f t="shared" si="0"/>
        <v>10452.497320456298</v>
      </c>
      <c r="H61" s="34">
        <f t="shared" si="1"/>
        <v>-2.5927571523818504</v>
      </c>
    </row>
    <row r="62" spans="2:18" x14ac:dyDescent="0.2">
      <c r="B62" s="19">
        <v>8000</v>
      </c>
      <c r="C62">
        <v>8000</v>
      </c>
      <c r="D62" s="19">
        <v>4</v>
      </c>
      <c r="E62">
        <v>5</v>
      </c>
      <c r="F62" s="37">
        <v>12034.40018189209</v>
      </c>
      <c r="G62">
        <f t="shared" si="0"/>
        <v>12248.648126182334</v>
      </c>
      <c r="H62" s="34">
        <f t="shared" si="1"/>
        <v>-1.780295993585276</v>
      </c>
    </row>
    <row r="63" spans="2:18" x14ac:dyDescent="0.2">
      <c r="B63" s="19">
        <v>4000</v>
      </c>
      <c r="C63">
        <v>10000</v>
      </c>
      <c r="D63" s="19">
        <v>4</v>
      </c>
      <c r="E63">
        <v>5</v>
      </c>
      <c r="F63" s="37">
        <v>10240.307973644683</v>
      </c>
      <c r="G63">
        <f t="shared" si="0"/>
        <v>10501.66623060997</v>
      </c>
      <c r="H63" s="34">
        <f t="shared" si="1"/>
        <v>-2.5522499678519419</v>
      </c>
    </row>
    <row r="64" spans="2:18" x14ac:dyDescent="0.2">
      <c r="B64" s="19">
        <v>6000</v>
      </c>
      <c r="C64">
        <v>10000</v>
      </c>
      <c r="D64" s="19">
        <v>4</v>
      </c>
      <c r="E64">
        <v>5</v>
      </c>
      <c r="F64" s="37">
        <v>12063.230797133045</v>
      </c>
      <c r="G64">
        <f t="shared" si="0"/>
        <v>12297.817036336006</v>
      </c>
      <c r="H64" s="34">
        <f t="shared" si="1"/>
        <v>-1.944638572767033</v>
      </c>
    </row>
    <row r="65" spans="2:8" x14ac:dyDescent="0.2">
      <c r="B65" s="19">
        <v>8000</v>
      </c>
      <c r="C65">
        <v>10000</v>
      </c>
      <c r="D65" s="19">
        <v>4</v>
      </c>
      <c r="E65">
        <v>5</v>
      </c>
      <c r="F65" s="37">
        <v>13935.835228111393</v>
      </c>
      <c r="G65">
        <f t="shared" si="0"/>
        <v>14093.967842062042</v>
      </c>
      <c r="H65" s="34">
        <f t="shared" si="1"/>
        <v>-1.1347193143591687</v>
      </c>
    </row>
    <row r="66" spans="2:8" x14ac:dyDescent="0.2">
      <c r="B66" s="19">
        <v>4000</v>
      </c>
      <c r="C66">
        <v>6000</v>
      </c>
      <c r="D66" s="19">
        <v>4</v>
      </c>
      <c r="E66">
        <v>10</v>
      </c>
      <c r="F66" s="37">
        <v>6134.3338450291549</v>
      </c>
      <c r="G66">
        <f t="shared" si="0"/>
        <v>6219.6258295898961</v>
      </c>
      <c r="H66" s="34">
        <f t="shared" si="1"/>
        <v>-1.390403370854294</v>
      </c>
    </row>
    <row r="67" spans="2:8" x14ac:dyDescent="0.2">
      <c r="B67" s="19">
        <v>6000</v>
      </c>
      <c r="C67">
        <v>6000</v>
      </c>
      <c r="D67" s="19">
        <v>4</v>
      </c>
      <c r="E67">
        <v>10</v>
      </c>
      <c r="F67" s="37">
        <v>7955.8612482994777</v>
      </c>
      <c r="G67">
        <f t="shared" si="0"/>
        <v>8015.7766353159332</v>
      </c>
      <c r="H67" s="34">
        <f t="shared" si="1"/>
        <v>-0.7530974352935339</v>
      </c>
    </row>
    <row r="68" spans="2:8" x14ac:dyDescent="0.2">
      <c r="B68" s="19">
        <v>8000</v>
      </c>
      <c r="C68">
        <v>6000</v>
      </c>
      <c r="D68" s="19">
        <v>4</v>
      </c>
      <c r="E68">
        <v>10</v>
      </c>
      <c r="F68" s="37">
        <v>9878.9899811855303</v>
      </c>
      <c r="G68">
        <f t="shared" ref="G68:G110" si="2">$K$19*B68+$K$20*C68+$K$21*D68+$K$22*E68+$K$18</f>
        <v>9811.9274410419694</v>
      </c>
      <c r="H68" s="34">
        <f t="shared" ref="H68:H110" si="3">(F68-G68)/F68*100</f>
        <v>0.6788400461107974</v>
      </c>
    </row>
    <row r="69" spans="2:8" x14ac:dyDescent="0.2">
      <c r="B69" s="19">
        <v>4000</v>
      </c>
      <c r="C69">
        <v>8000</v>
      </c>
      <c r="D69" s="19">
        <v>4</v>
      </c>
      <c r="E69">
        <v>10</v>
      </c>
      <c r="F69" s="37">
        <v>7993.2652513671119</v>
      </c>
      <c r="G69">
        <f t="shared" si="2"/>
        <v>8064.9455454696053</v>
      </c>
      <c r="H69" s="34">
        <f t="shared" si="3"/>
        <v>-0.89675860675627861</v>
      </c>
    </row>
    <row r="70" spans="2:8" x14ac:dyDescent="0.2">
      <c r="B70" s="19">
        <v>6000</v>
      </c>
      <c r="C70">
        <v>8000</v>
      </c>
      <c r="D70" s="19">
        <v>4</v>
      </c>
      <c r="E70">
        <v>10</v>
      </c>
      <c r="F70" s="37">
        <v>9870.0425111455643</v>
      </c>
      <c r="G70">
        <f t="shared" si="2"/>
        <v>9861.0963511956452</v>
      </c>
      <c r="H70" s="34">
        <f t="shared" si="3"/>
        <v>9.0639528044755696E-2</v>
      </c>
    </row>
    <row r="71" spans="2:8" x14ac:dyDescent="0.2">
      <c r="B71" s="19">
        <v>8000</v>
      </c>
      <c r="C71">
        <v>8000</v>
      </c>
      <c r="D71" s="19">
        <v>4</v>
      </c>
      <c r="E71">
        <v>10</v>
      </c>
      <c r="F71" s="37">
        <v>11811.972127886396</v>
      </c>
      <c r="G71">
        <f t="shared" si="2"/>
        <v>11657.247156921681</v>
      </c>
      <c r="H71" s="34">
        <f t="shared" si="3"/>
        <v>1.3098995602896073</v>
      </c>
    </row>
    <row r="72" spans="2:8" x14ac:dyDescent="0.2">
      <c r="B72" s="19">
        <v>4000</v>
      </c>
      <c r="C72">
        <v>10000</v>
      </c>
      <c r="D72" s="19">
        <v>4</v>
      </c>
      <c r="E72">
        <v>10</v>
      </c>
      <c r="F72" s="37">
        <v>9883.8759380000392</v>
      </c>
      <c r="G72">
        <f t="shared" si="2"/>
        <v>9910.2652613493174</v>
      </c>
      <c r="H72" s="34">
        <f t="shared" si="3"/>
        <v>-0.26699367247033556</v>
      </c>
    </row>
    <row r="73" spans="2:8" x14ac:dyDescent="0.2">
      <c r="B73" s="19">
        <v>6000</v>
      </c>
      <c r="C73">
        <v>10000</v>
      </c>
      <c r="D73" s="19">
        <v>4</v>
      </c>
      <c r="E73">
        <v>10</v>
      </c>
      <c r="F73" s="37">
        <v>11795.637408544408</v>
      </c>
      <c r="G73">
        <f t="shared" si="2"/>
        <v>11706.416067075354</v>
      </c>
      <c r="H73" s="34">
        <f t="shared" si="3"/>
        <v>0.75639271010844078</v>
      </c>
    </row>
    <row r="74" spans="2:8" x14ac:dyDescent="0.2">
      <c r="B74" s="19">
        <v>8000</v>
      </c>
      <c r="C74">
        <v>10000</v>
      </c>
      <c r="D74" s="19">
        <v>4</v>
      </c>
      <c r="E74">
        <v>10</v>
      </c>
      <c r="F74" s="37">
        <v>13754.469210265555</v>
      </c>
      <c r="G74">
        <f t="shared" si="2"/>
        <v>13502.56687280139</v>
      </c>
      <c r="H74" s="34">
        <f t="shared" si="3"/>
        <v>1.831421726373563</v>
      </c>
    </row>
    <row r="75" spans="2:8" x14ac:dyDescent="0.2">
      <c r="B75" s="19">
        <v>4000</v>
      </c>
      <c r="C75">
        <v>6000</v>
      </c>
      <c r="D75" s="19">
        <v>6</v>
      </c>
      <c r="E75">
        <v>0</v>
      </c>
      <c r="F75" s="37">
        <v>7357.9431348448097</v>
      </c>
      <c r="G75">
        <f t="shared" si="2"/>
        <v>6539.511272621201</v>
      </c>
      <c r="H75" s="34">
        <f t="shared" si="3"/>
        <v>11.123106651202336</v>
      </c>
    </row>
    <row r="76" spans="2:8" x14ac:dyDescent="0.2">
      <c r="B76" s="19">
        <v>6000</v>
      </c>
      <c r="C76">
        <v>6000</v>
      </c>
      <c r="D76" s="19">
        <v>6</v>
      </c>
      <c r="E76">
        <v>0</v>
      </c>
      <c r="F76" s="37">
        <v>8916.9130656728448</v>
      </c>
      <c r="G76">
        <f t="shared" si="2"/>
        <v>8335.662078347239</v>
      </c>
      <c r="H76" s="34">
        <f t="shared" si="3"/>
        <v>6.5185225317854574</v>
      </c>
    </row>
    <row r="77" spans="2:8" x14ac:dyDescent="0.2">
      <c r="B77" s="19">
        <v>8000</v>
      </c>
      <c r="C77">
        <v>6000</v>
      </c>
      <c r="D77" s="19">
        <v>6</v>
      </c>
      <c r="E77">
        <v>0</v>
      </c>
      <c r="F77" s="37">
        <v>10519.901779958274</v>
      </c>
      <c r="G77">
        <f t="shared" si="2"/>
        <v>10131.812884073275</v>
      </c>
      <c r="H77" s="34">
        <f t="shared" si="3"/>
        <v>3.689092388907631</v>
      </c>
    </row>
    <row r="78" spans="2:8" x14ac:dyDescent="0.2">
      <c r="B78" s="19">
        <v>4000</v>
      </c>
      <c r="C78">
        <v>8000</v>
      </c>
      <c r="D78" s="19">
        <v>6</v>
      </c>
      <c r="E78">
        <v>0</v>
      </c>
      <c r="F78" s="37">
        <v>9000.0194114342812</v>
      </c>
      <c r="G78">
        <f t="shared" si="2"/>
        <v>8384.8309885009112</v>
      </c>
      <c r="H78" s="34">
        <f t="shared" si="3"/>
        <v>6.8354121786869682</v>
      </c>
    </row>
    <row r="79" spans="2:8" x14ac:dyDescent="0.2">
      <c r="B79" s="19">
        <v>6000</v>
      </c>
      <c r="C79">
        <v>8000</v>
      </c>
      <c r="D79" s="19">
        <v>6</v>
      </c>
      <c r="E79">
        <v>0</v>
      </c>
      <c r="F79" s="37">
        <v>10588.382230329085</v>
      </c>
      <c r="G79">
        <f t="shared" si="2"/>
        <v>10180.981794226949</v>
      </c>
      <c r="H79" s="34">
        <f t="shared" si="3"/>
        <v>3.8476173908341633</v>
      </c>
    </row>
    <row r="80" spans="2:8" x14ac:dyDescent="0.2">
      <c r="B80" s="19">
        <v>8000</v>
      </c>
      <c r="C80">
        <v>8000</v>
      </c>
      <c r="D80" s="19">
        <v>6</v>
      </c>
      <c r="E80">
        <v>0</v>
      </c>
      <c r="F80" s="37">
        <v>12218.736423819937</v>
      </c>
      <c r="G80">
        <f t="shared" si="2"/>
        <v>11977.132599952985</v>
      </c>
      <c r="H80" s="34">
        <f t="shared" si="3"/>
        <v>1.9773224946235413</v>
      </c>
    </row>
    <row r="81" spans="2:8" x14ac:dyDescent="0.2">
      <c r="B81" s="19">
        <v>4000</v>
      </c>
      <c r="C81">
        <v>10000</v>
      </c>
      <c r="D81" s="19">
        <v>6</v>
      </c>
      <c r="E81">
        <v>0</v>
      </c>
      <c r="F81" s="37">
        <v>10670.081532698872</v>
      </c>
      <c r="G81">
        <f t="shared" si="2"/>
        <v>10230.150704380623</v>
      </c>
      <c r="H81" s="34">
        <f t="shared" si="3"/>
        <v>4.123031552946097</v>
      </c>
    </row>
    <row r="82" spans="2:8" x14ac:dyDescent="0.2">
      <c r="B82" s="19">
        <v>6000</v>
      </c>
      <c r="C82">
        <v>10000</v>
      </c>
      <c r="D82" s="19">
        <v>6</v>
      </c>
      <c r="E82">
        <v>0</v>
      </c>
      <c r="F82" s="37">
        <v>12285.891006395766</v>
      </c>
      <c r="G82">
        <f t="shared" si="2"/>
        <v>12026.301510106659</v>
      </c>
      <c r="H82" s="34">
        <f t="shared" si="3"/>
        <v>2.1129073679228507</v>
      </c>
    </row>
    <row r="83" spans="2:8" x14ac:dyDescent="0.2">
      <c r="B83" s="19">
        <v>8000</v>
      </c>
      <c r="C83">
        <v>10000</v>
      </c>
      <c r="D83" s="19">
        <v>6</v>
      </c>
      <c r="E83">
        <v>0</v>
      </c>
      <c r="F83" s="37">
        <v>13940.963089455068</v>
      </c>
      <c r="G83">
        <f t="shared" si="2"/>
        <v>13822.452315832696</v>
      </c>
      <c r="H83" s="34">
        <f t="shared" si="3"/>
        <v>0.85009029047651741</v>
      </c>
    </row>
    <row r="84" spans="2:8" x14ac:dyDescent="0.2">
      <c r="B84" s="19">
        <v>4000</v>
      </c>
      <c r="C84">
        <v>6000</v>
      </c>
      <c r="D84" s="19">
        <v>6</v>
      </c>
      <c r="E84">
        <v>2</v>
      </c>
      <c r="F84" s="37">
        <v>6746.5901070513801</v>
      </c>
      <c r="G84">
        <f t="shared" si="2"/>
        <v>6302.9508849169397</v>
      </c>
      <c r="H84" s="34">
        <f t="shared" si="3"/>
        <v>6.5757547901236642</v>
      </c>
    </row>
    <row r="85" spans="2:8" x14ac:dyDescent="0.2">
      <c r="B85" s="19">
        <v>6000</v>
      </c>
      <c r="C85">
        <v>6000</v>
      </c>
      <c r="D85" s="19">
        <v>6</v>
      </c>
      <c r="E85">
        <v>2</v>
      </c>
      <c r="F85" s="37">
        <v>8327.8382486998307</v>
      </c>
      <c r="G85">
        <f t="shared" si="2"/>
        <v>8099.1016906429777</v>
      </c>
      <c r="H85" s="34">
        <f t="shared" si="3"/>
        <v>2.7466498654985778</v>
      </c>
    </row>
    <row r="86" spans="2:8" x14ac:dyDescent="0.2">
      <c r="B86" s="19">
        <v>8000</v>
      </c>
      <c r="C86">
        <v>6000</v>
      </c>
      <c r="D86" s="19">
        <v>6</v>
      </c>
      <c r="E86">
        <v>2</v>
      </c>
      <c r="F86" s="37">
        <v>9946.9169968638998</v>
      </c>
      <c r="G86">
        <f t="shared" si="2"/>
        <v>9895.2524963690139</v>
      </c>
      <c r="H86" s="34">
        <f t="shared" si="3"/>
        <v>0.5194021475314905</v>
      </c>
    </row>
    <row r="87" spans="2:8" x14ac:dyDescent="0.2">
      <c r="B87" s="19">
        <v>4000</v>
      </c>
      <c r="C87">
        <v>8000</v>
      </c>
      <c r="D87" s="19">
        <v>6</v>
      </c>
      <c r="E87">
        <v>2</v>
      </c>
      <c r="F87" s="37">
        <v>8404.2168120554725</v>
      </c>
      <c r="G87">
        <f t="shared" si="2"/>
        <v>8148.2706007966499</v>
      </c>
      <c r="H87" s="34">
        <f t="shared" si="3"/>
        <v>3.0454498852490239</v>
      </c>
    </row>
    <row r="88" spans="2:8" x14ac:dyDescent="0.2">
      <c r="B88" s="19">
        <v>6000</v>
      </c>
      <c r="C88">
        <v>8000</v>
      </c>
      <c r="D88" s="19">
        <v>6</v>
      </c>
      <c r="E88">
        <v>2</v>
      </c>
      <c r="F88" s="37">
        <v>10011.591626531421</v>
      </c>
      <c r="G88">
        <f t="shared" si="2"/>
        <v>9944.4214065226879</v>
      </c>
      <c r="H88" s="34">
        <f t="shared" si="3"/>
        <v>0.67092448947605032</v>
      </c>
    </row>
    <row r="89" spans="2:8" x14ac:dyDescent="0.2">
      <c r="B89" s="19">
        <v>8000</v>
      </c>
      <c r="C89">
        <v>8000</v>
      </c>
      <c r="D89" s="19">
        <v>6</v>
      </c>
      <c r="E89">
        <v>2</v>
      </c>
      <c r="F89" s="37">
        <v>11655.48311433414</v>
      </c>
      <c r="G89">
        <f t="shared" si="2"/>
        <v>11740.572212248724</v>
      </c>
      <c r="H89" s="34">
        <f t="shared" si="3"/>
        <v>-0.73003492931099567</v>
      </c>
    </row>
    <row r="90" spans="2:8" x14ac:dyDescent="0.2">
      <c r="B90" s="19">
        <v>4000</v>
      </c>
      <c r="C90">
        <v>10000</v>
      </c>
      <c r="D90" s="19">
        <v>6</v>
      </c>
      <c r="E90">
        <v>2</v>
      </c>
      <c r="F90" s="37">
        <v>10087.630671889528</v>
      </c>
      <c r="G90">
        <f t="shared" si="2"/>
        <v>9993.5903166763619</v>
      </c>
      <c r="H90" s="34">
        <f t="shared" si="3"/>
        <v>0.93223432014835761</v>
      </c>
    </row>
    <row r="91" spans="2:8" x14ac:dyDescent="0.2">
      <c r="B91" s="19">
        <v>6000</v>
      </c>
      <c r="C91">
        <v>10000</v>
      </c>
      <c r="D91" s="19">
        <v>6</v>
      </c>
      <c r="E91">
        <v>2</v>
      </c>
      <c r="F91" s="37">
        <v>11721.637817853245</v>
      </c>
      <c r="G91">
        <f t="shared" si="2"/>
        <v>11789.741122402398</v>
      </c>
      <c r="H91" s="34">
        <f t="shared" si="3"/>
        <v>-0.58100502342279214</v>
      </c>
    </row>
    <row r="92" spans="2:8" x14ac:dyDescent="0.2">
      <c r="B92" s="19">
        <v>8000</v>
      </c>
      <c r="C92">
        <v>10000</v>
      </c>
      <c r="D92" s="19">
        <v>6</v>
      </c>
      <c r="E92">
        <v>2</v>
      </c>
      <c r="F92" s="37">
        <v>13394.43121219768</v>
      </c>
      <c r="G92">
        <f t="shared" si="2"/>
        <v>13585.891928128434</v>
      </c>
      <c r="H92" s="34">
        <f t="shared" si="3"/>
        <v>-1.4294053468757972</v>
      </c>
    </row>
    <row r="93" spans="2:8" x14ac:dyDescent="0.2">
      <c r="B93" s="19">
        <v>4000</v>
      </c>
      <c r="C93">
        <v>6000</v>
      </c>
      <c r="D93" s="19">
        <v>6</v>
      </c>
      <c r="E93">
        <v>5</v>
      </c>
      <c r="F93" s="37">
        <v>6067.3170244793037</v>
      </c>
      <c r="G93">
        <f t="shared" si="2"/>
        <v>5948.1103033605477</v>
      </c>
      <c r="H93" s="34">
        <f t="shared" si="3"/>
        <v>1.9647353292699621</v>
      </c>
    </row>
    <row r="94" spans="2:8" x14ac:dyDescent="0.2">
      <c r="B94" s="19">
        <v>6000</v>
      </c>
      <c r="C94">
        <v>6000</v>
      </c>
      <c r="D94" s="19">
        <v>6</v>
      </c>
      <c r="E94">
        <v>5</v>
      </c>
      <c r="F94" s="37">
        <v>7684.7115373561892</v>
      </c>
      <c r="G94">
        <f t="shared" si="2"/>
        <v>7744.2611090865857</v>
      </c>
      <c r="H94" s="34">
        <f t="shared" si="3"/>
        <v>-0.77490965589169936</v>
      </c>
    </row>
    <row r="95" spans="2:8" x14ac:dyDescent="0.2">
      <c r="B95" s="19">
        <v>8000</v>
      </c>
      <c r="C95">
        <v>6000</v>
      </c>
      <c r="D95" s="19">
        <v>6</v>
      </c>
      <c r="E95">
        <v>5</v>
      </c>
      <c r="F95" s="37">
        <v>9337.6575655856141</v>
      </c>
      <c r="G95">
        <f t="shared" si="2"/>
        <v>9540.411914812621</v>
      </c>
      <c r="H95" s="34">
        <f t="shared" si="3"/>
        <v>-2.1713620123987827</v>
      </c>
    </row>
    <row r="96" spans="2:8" x14ac:dyDescent="0.2">
      <c r="B96" s="19">
        <v>4000</v>
      </c>
      <c r="C96">
        <v>8000</v>
      </c>
      <c r="D96" s="19">
        <v>6</v>
      </c>
      <c r="E96">
        <v>5</v>
      </c>
      <c r="F96" s="37">
        <v>7757.7364801074064</v>
      </c>
      <c r="G96">
        <f t="shared" si="2"/>
        <v>7793.4300192402579</v>
      </c>
      <c r="H96" s="34">
        <f t="shared" si="3"/>
        <v>-0.4601024954170318</v>
      </c>
    </row>
    <row r="97" spans="2:8" x14ac:dyDescent="0.2">
      <c r="B97" s="19">
        <v>6000</v>
      </c>
      <c r="C97">
        <v>8000</v>
      </c>
      <c r="D97" s="19">
        <v>6</v>
      </c>
      <c r="E97">
        <v>5</v>
      </c>
      <c r="F97" s="37">
        <v>9401.6203451127385</v>
      </c>
      <c r="G97">
        <f t="shared" si="2"/>
        <v>9589.580824966295</v>
      </c>
      <c r="H97" s="34">
        <f t="shared" si="3"/>
        <v>-1.999234950507913</v>
      </c>
    </row>
    <row r="98" spans="2:8" x14ac:dyDescent="0.2">
      <c r="B98" s="19">
        <v>8000</v>
      </c>
      <c r="C98">
        <v>8000</v>
      </c>
      <c r="D98" s="19">
        <v>6</v>
      </c>
      <c r="E98">
        <v>5</v>
      </c>
      <c r="F98" s="37">
        <v>11089.142890085408</v>
      </c>
      <c r="G98">
        <f t="shared" si="2"/>
        <v>11385.731630692331</v>
      </c>
      <c r="H98" s="34">
        <f t="shared" si="3"/>
        <v>-2.6745866975174213</v>
      </c>
    </row>
    <row r="99" spans="2:8" x14ac:dyDescent="0.2">
      <c r="B99" s="19">
        <v>4000</v>
      </c>
      <c r="C99">
        <v>10000</v>
      </c>
      <c r="D99" s="19">
        <v>6</v>
      </c>
      <c r="E99">
        <v>5</v>
      </c>
      <c r="F99" s="37">
        <v>9475.9891116392155</v>
      </c>
      <c r="G99">
        <f t="shared" si="2"/>
        <v>9638.749735119969</v>
      </c>
      <c r="H99" s="34">
        <f t="shared" si="3"/>
        <v>-1.7176109170581162</v>
      </c>
    </row>
    <row r="100" spans="2:8" x14ac:dyDescent="0.2">
      <c r="B100" s="19">
        <v>6000</v>
      </c>
      <c r="C100">
        <v>10000</v>
      </c>
      <c r="D100" s="19">
        <v>6</v>
      </c>
      <c r="E100">
        <v>5</v>
      </c>
      <c r="F100" s="37">
        <v>11152.349392804945</v>
      </c>
      <c r="G100">
        <f t="shared" si="2"/>
        <v>11434.900540846005</v>
      </c>
      <c r="H100" s="34">
        <f t="shared" si="3"/>
        <v>-2.5335571733732745</v>
      </c>
    </row>
    <row r="101" spans="2:8" x14ac:dyDescent="0.2">
      <c r="B101" s="19">
        <v>8000</v>
      </c>
      <c r="C101">
        <v>10000</v>
      </c>
      <c r="D101" s="19">
        <v>6</v>
      </c>
      <c r="E101">
        <v>5</v>
      </c>
      <c r="F101" s="37">
        <v>12869.283397919422</v>
      </c>
      <c r="G101">
        <f t="shared" si="2"/>
        <v>13231.051346572041</v>
      </c>
      <c r="H101" s="34">
        <f t="shared" si="3"/>
        <v>-2.8110962939172395</v>
      </c>
    </row>
    <row r="102" spans="2:8" x14ac:dyDescent="0.2">
      <c r="B102" s="19">
        <v>4000</v>
      </c>
      <c r="C102">
        <v>6000</v>
      </c>
      <c r="D102" s="19">
        <v>6</v>
      </c>
      <c r="E102">
        <v>10</v>
      </c>
      <c r="F102" s="37">
        <v>5319.1875756039444</v>
      </c>
      <c r="G102">
        <f t="shared" si="2"/>
        <v>5356.7093340998945</v>
      </c>
      <c r="H102" s="34">
        <f t="shared" si="3"/>
        <v>-0.70540393551904024</v>
      </c>
    </row>
    <row r="103" spans="2:8" x14ac:dyDescent="0.2">
      <c r="B103" s="19">
        <v>6000</v>
      </c>
      <c r="C103">
        <v>6000</v>
      </c>
      <c r="D103" s="19">
        <v>6</v>
      </c>
      <c r="E103">
        <v>10</v>
      </c>
      <c r="F103" s="37">
        <v>6870.7445236769117</v>
      </c>
      <c r="G103">
        <f t="shared" si="2"/>
        <v>7152.8601398259325</v>
      </c>
      <c r="H103" s="34">
        <f t="shared" si="3"/>
        <v>-4.1060414221026109</v>
      </c>
    </row>
    <row r="104" spans="2:8" x14ac:dyDescent="0.2">
      <c r="B104" s="19">
        <v>8000</v>
      </c>
      <c r="C104">
        <v>6000</v>
      </c>
      <c r="D104" s="19">
        <v>6</v>
      </c>
      <c r="E104">
        <v>10</v>
      </c>
      <c r="F104" s="37">
        <v>8607.9178107483858</v>
      </c>
      <c r="G104">
        <f t="shared" si="2"/>
        <v>8949.0109455519687</v>
      </c>
      <c r="H104" s="34">
        <f t="shared" si="3"/>
        <v>-3.9625510175953655</v>
      </c>
    </row>
    <row r="105" spans="2:8" x14ac:dyDescent="0.2">
      <c r="B105" s="19">
        <v>4000</v>
      </c>
      <c r="C105">
        <v>8000</v>
      </c>
      <c r="D105" s="19">
        <v>6</v>
      </c>
      <c r="E105">
        <v>10</v>
      </c>
      <c r="F105" s="37">
        <v>7019.1866248065608</v>
      </c>
      <c r="G105">
        <f t="shared" si="2"/>
        <v>7202.0290499796047</v>
      </c>
      <c r="H105" s="34">
        <f t="shared" si="3"/>
        <v>-2.6048947683889629</v>
      </c>
    </row>
    <row r="106" spans="2:8" x14ac:dyDescent="0.2">
      <c r="B106" s="19">
        <v>6000</v>
      </c>
      <c r="C106">
        <v>8000</v>
      </c>
      <c r="D106" s="19">
        <v>6</v>
      </c>
      <c r="E106">
        <v>10</v>
      </c>
      <c r="F106" s="37">
        <v>8653.3856066162607</v>
      </c>
      <c r="G106">
        <f t="shared" si="2"/>
        <v>8998.1798557056427</v>
      </c>
      <c r="H106" s="34">
        <f t="shared" si="3"/>
        <v>-3.9845011509224442</v>
      </c>
    </row>
    <row r="107" spans="2:8" x14ac:dyDescent="0.2">
      <c r="B107" s="19">
        <v>8000</v>
      </c>
      <c r="C107">
        <v>8000</v>
      </c>
      <c r="D107" s="19">
        <v>6</v>
      </c>
      <c r="E107">
        <v>10</v>
      </c>
      <c r="F107" s="37">
        <v>10426.195736146165</v>
      </c>
      <c r="G107">
        <f t="shared" si="2"/>
        <v>10794.330661431679</v>
      </c>
      <c r="H107" s="34">
        <f t="shared" si="3"/>
        <v>-3.53086528012554</v>
      </c>
    </row>
    <row r="108" spans="2:8" x14ac:dyDescent="0.2">
      <c r="B108" s="19">
        <v>4000</v>
      </c>
      <c r="C108">
        <v>10000</v>
      </c>
      <c r="D108" s="19">
        <v>6</v>
      </c>
      <c r="E108">
        <v>10</v>
      </c>
      <c r="F108" s="37">
        <v>8757.9904171734579</v>
      </c>
      <c r="G108">
        <f t="shared" si="2"/>
        <v>9047.3487658593167</v>
      </c>
      <c r="H108" s="34">
        <f t="shared" si="3"/>
        <v>-3.3039354338463176</v>
      </c>
    </row>
    <row r="109" spans="2:8" x14ac:dyDescent="0.2">
      <c r="B109" s="19">
        <v>6000</v>
      </c>
      <c r="C109">
        <v>10000</v>
      </c>
      <c r="D109" s="19">
        <v>6</v>
      </c>
      <c r="E109">
        <v>10</v>
      </c>
      <c r="F109" s="37">
        <v>10471.062803250561</v>
      </c>
      <c r="G109">
        <f t="shared" si="2"/>
        <v>10843.499571585353</v>
      </c>
      <c r="H109" s="34">
        <f t="shared" si="3"/>
        <v>-3.5568191627995516</v>
      </c>
    </row>
    <row r="110" spans="2:8" x14ac:dyDescent="0.2">
      <c r="B110" s="19">
        <v>8000</v>
      </c>
      <c r="C110">
        <v>10000</v>
      </c>
      <c r="D110" s="19">
        <v>6</v>
      </c>
      <c r="E110">
        <v>10</v>
      </c>
      <c r="F110" s="37">
        <v>12273.260083034609</v>
      </c>
      <c r="G110">
        <f t="shared" si="2"/>
        <v>12639.650377311389</v>
      </c>
      <c r="H110" s="34">
        <f t="shared" si="3"/>
        <v>-2.9852727946606721</v>
      </c>
    </row>
    <row r="113" spans="2:18" x14ac:dyDescent="0.2">
      <c r="B113" t="s">
        <v>8</v>
      </c>
      <c r="C113" t="s">
        <v>33</v>
      </c>
      <c r="D113" t="s">
        <v>61</v>
      </c>
      <c r="E113" t="s">
        <v>16</v>
      </c>
      <c r="F113" t="s">
        <v>4</v>
      </c>
      <c r="G113" t="s">
        <v>65</v>
      </c>
      <c r="H113" t="s">
        <v>64</v>
      </c>
      <c r="J113" t="s">
        <v>34</v>
      </c>
    </row>
    <row r="114" spans="2:18" ht="13.5" thickBot="1" x14ac:dyDescent="0.25">
      <c r="B114" s="19">
        <v>4000</v>
      </c>
      <c r="C114">
        <v>6000</v>
      </c>
      <c r="D114" s="19">
        <v>3</v>
      </c>
      <c r="E114">
        <v>0</v>
      </c>
      <c r="F114" s="37">
        <v>1130.6478055446007</v>
      </c>
      <c r="G114">
        <f>$K$130*B114+$K$131*C114+$K$132*D114+$K$133*E114+$K$129</f>
        <v>1045.0392477844177</v>
      </c>
      <c r="H114" s="34">
        <f>(F114-G114)/F114*100</f>
        <v>7.5716379000043954</v>
      </c>
    </row>
    <row r="115" spans="2:18" x14ac:dyDescent="0.2">
      <c r="B115" s="19">
        <v>6000</v>
      </c>
      <c r="C115">
        <v>6000</v>
      </c>
      <c r="D115" s="19">
        <v>3</v>
      </c>
      <c r="E115">
        <v>0</v>
      </c>
      <c r="F115" s="37">
        <v>822.67819796533684</v>
      </c>
      <c r="G115">
        <f t="shared" ref="G115:G178" si="4">$K$130*B115+$K$131*C115+$K$132*D115+$K$133*E115+$K$129</f>
        <v>827.65644690800991</v>
      </c>
      <c r="H115" s="34">
        <f t="shared" ref="H115:H178" si="5">(F115-G115)/F115*100</f>
        <v>-0.60512712686265113</v>
      </c>
      <c r="J115" s="43" t="s">
        <v>35</v>
      </c>
      <c r="K115" s="43"/>
    </row>
    <row r="116" spans="2:18" x14ac:dyDescent="0.2">
      <c r="B116" s="19">
        <v>8000</v>
      </c>
      <c r="C116">
        <v>6000</v>
      </c>
      <c r="D116" s="19">
        <v>3</v>
      </c>
      <c r="E116">
        <v>0</v>
      </c>
      <c r="F116" s="37">
        <v>578.20037366107999</v>
      </c>
      <c r="G116">
        <f t="shared" si="4"/>
        <v>610.27364603160186</v>
      </c>
      <c r="H116" s="34">
        <f t="shared" si="5"/>
        <v>-5.547086067661736</v>
      </c>
      <c r="J116" s="40" t="s">
        <v>36</v>
      </c>
      <c r="K116" s="40">
        <v>0.98122521994287304</v>
      </c>
    </row>
    <row r="117" spans="2:18" x14ac:dyDescent="0.2">
      <c r="B117" s="19">
        <v>4000</v>
      </c>
      <c r="C117">
        <v>8000</v>
      </c>
      <c r="D117" s="19">
        <v>3</v>
      </c>
      <c r="E117">
        <v>0</v>
      </c>
      <c r="F117" s="37">
        <v>937.68439228959585</v>
      </c>
      <c r="G117">
        <f t="shared" si="4"/>
        <v>928.44694882709223</v>
      </c>
      <c r="H117" s="34">
        <f t="shared" si="5"/>
        <v>0.98513354156914601</v>
      </c>
      <c r="J117" s="40" t="s">
        <v>37</v>
      </c>
      <c r="K117" s="40">
        <v>0.96280293225193958</v>
      </c>
    </row>
    <row r="118" spans="2:18" x14ac:dyDescent="0.2">
      <c r="B118" s="19">
        <v>6000</v>
      </c>
      <c r="C118">
        <v>8000</v>
      </c>
      <c r="D118" s="19">
        <v>3</v>
      </c>
      <c r="E118">
        <v>0</v>
      </c>
      <c r="F118" s="37">
        <v>673.23602604779546</v>
      </c>
      <c r="G118">
        <f t="shared" si="4"/>
        <v>711.0641479506844</v>
      </c>
      <c r="H118" s="34">
        <f t="shared" si="5"/>
        <v>-5.6188499187955498</v>
      </c>
      <c r="J118" s="40" t="s">
        <v>38</v>
      </c>
      <c r="K118" s="40">
        <v>0.95211455529766853</v>
      </c>
    </row>
    <row r="119" spans="2:18" x14ac:dyDescent="0.2">
      <c r="B119" s="19">
        <v>8000</v>
      </c>
      <c r="C119">
        <v>8000</v>
      </c>
      <c r="D119" s="19">
        <v>3</v>
      </c>
      <c r="E119">
        <v>0</v>
      </c>
      <c r="F119" s="37">
        <v>465.8571003609074</v>
      </c>
      <c r="G119">
        <f t="shared" si="4"/>
        <v>493.68134707427657</v>
      </c>
      <c r="H119" s="34">
        <f t="shared" si="5"/>
        <v>-5.9726999313337208</v>
      </c>
      <c r="J119" s="40" t="s">
        <v>39</v>
      </c>
      <c r="K119" s="40">
        <v>273.67289569944472</v>
      </c>
    </row>
    <row r="120" spans="2:18" ht="13.5" thickBot="1" x14ac:dyDescent="0.25">
      <c r="B120" s="19">
        <v>4000</v>
      </c>
      <c r="C120">
        <v>10000</v>
      </c>
      <c r="D120" s="19">
        <v>3</v>
      </c>
      <c r="E120">
        <v>0</v>
      </c>
      <c r="F120" s="37">
        <v>785.29984308622625</v>
      </c>
      <c r="G120">
        <f t="shared" si="4"/>
        <v>811.85464986976694</v>
      </c>
      <c r="H120" s="34">
        <f t="shared" si="5"/>
        <v>-3.38148632236833</v>
      </c>
      <c r="J120" s="41" t="s">
        <v>40</v>
      </c>
      <c r="K120" s="41">
        <v>108</v>
      </c>
    </row>
    <row r="121" spans="2:18" x14ac:dyDescent="0.2">
      <c r="B121" s="19">
        <v>6000</v>
      </c>
      <c r="C121">
        <v>10000</v>
      </c>
      <c r="D121" s="19">
        <v>3</v>
      </c>
      <c r="E121">
        <v>0</v>
      </c>
      <c r="F121" s="37">
        <v>557.833526580804</v>
      </c>
      <c r="G121">
        <f t="shared" si="4"/>
        <v>594.47184899335912</v>
      </c>
      <c r="H121" s="34">
        <f t="shared" si="5"/>
        <v>-6.567967084575713</v>
      </c>
    </row>
    <row r="122" spans="2:18" ht="13.5" thickBot="1" x14ac:dyDescent="0.25">
      <c r="B122" s="19">
        <v>8000</v>
      </c>
      <c r="C122">
        <v>10000</v>
      </c>
      <c r="D122" s="19">
        <v>3</v>
      </c>
      <c r="E122">
        <v>0</v>
      </c>
      <c r="F122" s="37">
        <v>380.78488226526952</v>
      </c>
      <c r="G122">
        <f t="shared" si="4"/>
        <v>377.08904811695106</v>
      </c>
      <c r="H122" s="34">
        <f t="shared" si="5"/>
        <v>0.9705832138955014</v>
      </c>
      <c r="J122" t="s">
        <v>41</v>
      </c>
    </row>
    <row r="123" spans="2:18" x14ac:dyDescent="0.2">
      <c r="B123" s="19">
        <v>4000</v>
      </c>
      <c r="C123">
        <v>6000</v>
      </c>
      <c r="D123" s="19">
        <v>3</v>
      </c>
      <c r="E123">
        <v>2</v>
      </c>
      <c r="F123" s="37">
        <v>637.22694349549863</v>
      </c>
      <c r="G123">
        <f t="shared" si="4"/>
        <v>810.60646249834792</v>
      </c>
      <c r="H123" s="34">
        <f t="shared" si="5"/>
        <v>-27.208441321043114</v>
      </c>
      <c r="J123" s="42"/>
      <c r="K123" s="42" t="s">
        <v>46</v>
      </c>
      <c r="L123" s="42" t="s">
        <v>47</v>
      </c>
      <c r="M123" s="42" t="s">
        <v>48</v>
      </c>
      <c r="N123" s="42" t="s">
        <v>49</v>
      </c>
      <c r="O123" s="42" t="s">
        <v>50</v>
      </c>
    </row>
    <row r="124" spans="2:18" x14ac:dyDescent="0.2">
      <c r="B124" s="19">
        <v>6000</v>
      </c>
      <c r="C124">
        <v>6000</v>
      </c>
      <c r="D124" s="19">
        <v>3</v>
      </c>
      <c r="E124">
        <v>2</v>
      </c>
      <c r="F124" s="37">
        <v>398.64919727625932</v>
      </c>
      <c r="G124">
        <f t="shared" si="4"/>
        <v>593.2236616219401</v>
      </c>
      <c r="H124" s="34">
        <f t="shared" si="5"/>
        <v>-48.80844252919514</v>
      </c>
      <c r="J124" s="40" t="s">
        <v>42</v>
      </c>
      <c r="K124" s="40">
        <v>4</v>
      </c>
      <c r="L124" s="40">
        <v>201616287.12728563</v>
      </c>
      <c r="M124" s="40">
        <v>50404071.781821407</v>
      </c>
      <c r="N124" s="40">
        <v>672.97982755255384</v>
      </c>
      <c r="O124" s="40">
        <v>7.5382045781276522E-73</v>
      </c>
    </row>
    <row r="125" spans="2:18" x14ac:dyDescent="0.2">
      <c r="B125" s="19">
        <v>8000</v>
      </c>
      <c r="C125">
        <v>6000</v>
      </c>
      <c r="D125" s="19">
        <v>3</v>
      </c>
      <c r="E125">
        <v>2</v>
      </c>
      <c r="F125" s="37">
        <v>226.14641911733091</v>
      </c>
      <c r="G125">
        <f t="shared" si="4"/>
        <v>375.84086074553204</v>
      </c>
      <c r="H125" s="34">
        <f t="shared" si="5"/>
        <v>-66.193593607394504</v>
      </c>
      <c r="J125" s="40" t="s">
        <v>43</v>
      </c>
      <c r="K125" s="40">
        <v>104</v>
      </c>
      <c r="L125" s="40">
        <v>7789272.7994139921</v>
      </c>
      <c r="M125" s="40">
        <v>74896.85384051915</v>
      </c>
      <c r="N125" s="40"/>
      <c r="O125" s="40"/>
    </row>
    <row r="126" spans="2:18" ht="13.5" thickBot="1" x14ac:dyDescent="0.25">
      <c r="B126" s="19">
        <v>4000</v>
      </c>
      <c r="C126">
        <v>8000</v>
      </c>
      <c r="D126" s="19">
        <v>3</v>
      </c>
      <c r="E126">
        <v>2</v>
      </c>
      <c r="F126" s="37">
        <v>500.99233981306929</v>
      </c>
      <c r="G126">
        <f t="shared" si="4"/>
        <v>694.01416354102241</v>
      </c>
      <c r="H126" s="34">
        <f t="shared" si="5"/>
        <v>-38.527899208992615</v>
      </c>
      <c r="J126" s="41" t="s">
        <v>44</v>
      </c>
      <c r="K126" s="41">
        <v>108</v>
      </c>
      <c r="L126" s="41">
        <v>209405559.92669961</v>
      </c>
      <c r="M126" s="41"/>
      <c r="N126" s="41"/>
      <c r="O126" s="41"/>
    </row>
    <row r="127" spans="2:18" ht="13.5" thickBot="1" x14ac:dyDescent="0.25">
      <c r="B127" s="19">
        <v>6000</v>
      </c>
      <c r="C127">
        <v>8000</v>
      </c>
      <c r="D127" s="19">
        <v>3</v>
      </c>
      <c r="E127">
        <v>2</v>
      </c>
      <c r="F127" s="37">
        <v>305.18039957224744</v>
      </c>
      <c r="G127">
        <f t="shared" si="4"/>
        <v>476.63136266461458</v>
      </c>
      <c r="H127" s="34">
        <f t="shared" si="5"/>
        <v>-56.180201393234753</v>
      </c>
    </row>
    <row r="128" spans="2:18" x14ac:dyDescent="0.2">
      <c r="B128" s="19">
        <v>8000</v>
      </c>
      <c r="C128">
        <v>8000</v>
      </c>
      <c r="D128" s="19">
        <v>3</v>
      </c>
      <c r="E128">
        <v>2</v>
      </c>
      <c r="F128" s="37">
        <v>169.23568052503734</v>
      </c>
      <c r="G128">
        <f t="shared" si="4"/>
        <v>259.24856178820676</v>
      </c>
      <c r="H128" s="34">
        <f t="shared" si="5"/>
        <v>-53.1878862565584</v>
      </c>
      <c r="J128" s="42"/>
      <c r="K128" s="42" t="s">
        <v>51</v>
      </c>
      <c r="L128" s="42" t="s">
        <v>39</v>
      </c>
      <c r="M128" s="42" t="s">
        <v>52</v>
      </c>
      <c r="N128" s="42" t="s">
        <v>53</v>
      </c>
      <c r="O128" s="42" t="s">
        <v>54</v>
      </c>
      <c r="P128" s="42" t="s">
        <v>55</v>
      </c>
      <c r="Q128" s="42" t="s">
        <v>56</v>
      </c>
      <c r="R128" s="42" t="s">
        <v>57</v>
      </c>
    </row>
    <row r="129" spans="2:18" x14ac:dyDescent="0.2">
      <c r="B129" s="19">
        <v>4000</v>
      </c>
      <c r="C129">
        <v>10000</v>
      </c>
      <c r="D129" s="19">
        <v>3</v>
      </c>
      <c r="E129">
        <v>2</v>
      </c>
      <c r="F129" s="37">
        <v>401.95572166438285</v>
      </c>
      <c r="G129">
        <f t="shared" si="4"/>
        <v>577.42186458369713</v>
      </c>
      <c r="H129" s="34">
        <f t="shared" si="5"/>
        <v>-43.653102434457089</v>
      </c>
      <c r="J129" s="40" t="s">
        <v>45</v>
      </c>
      <c r="K129" s="40">
        <v>0</v>
      </c>
      <c r="L129" s="40" t="e">
        <v>#N/A</v>
      </c>
      <c r="M129" s="40" t="e">
        <v>#N/A</v>
      </c>
      <c r="N129" s="40" t="e">
        <v>#N/A</v>
      </c>
      <c r="O129" s="40" t="e">
        <v>#N/A</v>
      </c>
      <c r="P129" s="40" t="e">
        <v>#N/A</v>
      </c>
      <c r="Q129" s="40" t="e">
        <v>#N/A</v>
      </c>
      <c r="R129" s="40" t="e">
        <v>#N/A</v>
      </c>
    </row>
    <row r="130" spans="2:18" x14ac:dyDescent="0.2">
      <c r="B130" s="19">
        <v>6000</v>
      </c>
      <c r="C130">
        <v>10000</v>
      </c>
      <c r="D130" s="19">
        <v>3</v>
      </c>
      <c r="E130">
        <v>2</v>
      </c>
      <c r="F130" s="37">
        <v>238.07799227599568</v>
      </c>
      <c r="G130">
        <f t="shared" si="4"/>
        <v>360.0390637072893</v>
      </c>
      <c r="H130" s="34">
        <f t="shared" si="5"/>
        <v>-51.227360523902732</v>
      </c>
      <c r="J130" s="40" t="s">
        <v>58</v>
      </c>
      <c r="K130" s="40">
        <v>-0.10869140043820395</v>
      </c>
      <c r="L130" s="40">
        <v>1.3868702143018805E-2</v>
      </c>
      <c r="M130" s="40">
        <v>-7.8371717351300081</v>
      </c>
      <c r="N130" s="40">
        <v>4.1669221900509404E-12</v>
      </c>
      <c r="O130" s="40">
        <v>-0.13619355723143556</v>
      </c>
      <c r="P130" s="40">
        <v>-8.1189243644972348E-2</v>
      </c>
      <c r="Q130" s="40">
        <v>-0.13619355723143556</v>
      </c>
      <c r="R130" s="40">
        <v>-8.1189243644972348E-2</v>
      </c>
    </row>
    <row r="131" spans="2:18" x14ac:dyDescent="0.2">
      <c r="B131" s="19">
        <v>8000</v>
      </c>
      <c r="C131">
        <v>10000</v>
      </c>
      <c r="D131" s="19">
        <v>3</v>
      </c>
      <c r="E131">
        <v>2</v>
      </c>
      <c r="F131" s="37">
        <v>126.68568692973658</v>
      </c>
      <c r="G131">
        <f t="shared" si="4"/>
        <v>142.65626283088122</v>
      </c>
      <c r="H131" s="34">
        <f t="shared" si="5"/>
        <v>-12.606456410503872</v>
      </c>
      <c r="J131" s="40" t="s">
        <v>59</v>
      </c>
      <c r="K131" s="40">
        <v>-5.8296149478662726E-2</v>
      </c>
      <c r="L131" s="40">
        <v>1.1818275603447236E-2</v>
      </c>
      <c r="M131" s="40">
        <v>-4.9327119653275391</v>
      </c>
      <c r="N131" s="40">
        <v>3.0888019293136907E-6</v>
      </c>
      <c r="O131" s="40">
        <v>-8.1732233498625739E-2</v>
      </c>
      <c r="P131" s="40">
        <v>-3.4860065458699713E-2</v>
      </c>
      <c r="Q131" s="40">
        <v>-8.1732233498625739E-2</v>
      </c>
      <c r="R131" s="40">
        <v>-3.4860065458699713E-2</v>
      </c>
    </row>
    <row r="132" spans="2:18" x14ac:dyDescent="0.2">
      <c r="B132" s="19">
        <v>4000</v>
      </c>
      <c r="C132">
        <v>6000</v>
      </c>
      <c r="D132" s="19">
        <v>3</v>
      </c>
      <c r="E132">
        <v>5</v>
      </c>
      <c r="F132" s="37">
        <v>294.65592391863987</v>
      </c>
      <c r="G132">
        <f t="shared" si="4"/>
        <v>458.95728456924314</v>
      </c>
      <c r="H132" s="34">
        <f t="shared" si="5"/>
        <v>-55.760413184827065</v>
      </c>
      <c r="J132" s="40" t="s">
        <v>60</v>
      </c>
      <c r="K132" s="40">
        <v>609.86058213640331</v>
      </c>
      <c r="L132" s="40">
        <v>18.493556482539887</v>
      </c>
      <c r="M132" s="40">
        <v>32.976922676402673</v>
      </c>
      <c r="N132" s="40">
        <v>6.935731473933679E-57</v>
      </c>
      <c r="O132" s="40">
        <v>573.18716563338023</v>
      </c>
      <c r="P132" s="40">
        <v>646.53399863942639</v>
      </c>
      <c r="Q132" s="40">
        <v>573.18716563338023</v>
      </c>
      <c r="R132" s="40">
        <v>646.53399863942639</v>
      </c>
    </row>
    <row r="133" spans="2:18" ht="13.5" thickBot="1" x14ac:dyDescent="0.25">
      <c r="B133" s="19">
        <v>6000</v>
      </c>
      <c r="C133">
        <v>6000</v>
      </c>
      <c r="D133" s="19">
        <v>3</v>
      </c>
      <c r="E133">
        <v>5</v>
      </c>
      <c r="F133" s="37">
        <v>154.5467766736607</v>
      </c>
      <c r="G133">
        <f t="shared" si="4"/>
        <v>241.57448369283532</v>
      </c>
      <c r="H133" s="34">
        <f t="shared" si="5"/>
        <v>-56.31156397583198</v>
      </c>
      <c r="J133" s="41" t="s">
        <v>62</v>
      </c>
      <c r="K133" s="41">
        <v>-117.21639264303492</v>
      </c>
      <c r="L133" s="41">
        <v>6.9050686759709858</v>
      </c>
      <c r="M133" s="41">
        <v>-16.975413010870891</v>
      </c>
      <c r="N133" s="41">
        <v>9.620585555519288E-32</v>
      </c>
      <c r="O133" s="41">
        <v>-130.90940295043271</v>
      </c>
      <c r="P133" s="41">
        <v>-103.52338233563714</v>
      </c>
      <c r="Q133" s="41">
        <v>-130.90940295043271</v>
      </c>
      <c r="R133" s="41">
        <v>-103.52338233563714</v>
      </c>
    </row>
    <row r="134" spans="2:18" x14ac:dyDescent="0.2">
      <c r="B134" s="19">
        <v>8000</v>
      </c>
      <c r="C134">
        <v>6000</v>
      </c>
      <c r="D134" s="19">
        <v>3</v>
      </c>
      <c r="E134">
        <v>5</v>
      </c>
      <c r="F134" s="37">
        <v>67.467340312042779</v>
      </c>
      <c r="G134">
        <f t="shared" si="4"/>
        <v>24.19168281642726</v>
      </c>
      <c r="H134" s="34">
        <f t="shared" si="5"/>
        <v>64.143120649875257</v>
      </c>
    </row>
    <row r="135" spans="2:18" x14ac:dyDescent="0.2">
      <c r="B135" s="19">
        <v>4000</v>
      </c>
      <c r="C135">
        <v>8000</v>
      </c>
      <c r="D135" s="19">
        <v>3</v>
      </c>
      <c r="E135">
        <v>5</v>
      </c>
      <c r="F135" s="37">
        <v>221.08330013047734</v>
      </c>
      <c r="G135">
        <f t="shared" si="4"/>
        <v>342.36498561191763</v>
      </c>
      <c r="H135" s="34">
        <f t="shared" si="5"/>
        <v>-54.857913469657426</v>
      </c>
    </row>
    <row r="136" spans="2:18" x14ac:dyDescent="0.2">
      <c r="B136" s="19">
        <v>6000</v>
      </c>
      <c r="C136">
        <v>8000</v>
      </c>
      <c r="D136" s="19">
        <v>3</v>
      </c>
      <c r="E136">
        <v>5</v>
      </c>
      <c r="F136" s="37">
        <v>110.33849655015476</v>
      </c>
      <c r="G136">
        <f t="shared" si="4"/>
        <v>124.9821847355098</v>
      </c>
      <c r="H136" s="34">
        <f t="shared" si="5"/>
        <v>-13.271603876439176</v>
      </c>
    </row>
    <row r="137" spans="2:18" x14ac:dyDescent="0.2">
      <c r="B137" s="19">
        <v>8000</v>
      </c>
      <c r="C137">
        <v>8000</v>
      </c>
      <c r="D137" s="19">
        <v>3</v>
      </c>
      <c r="E137">
        <v>5</v>
      </c>
      <c r="F137" s="37">
        <v>44.476491720253826</v>
      </c>
      <c r="G137">
        <f t="shared" si="4"/>
        <v>-92.400616140898023</v>
      </c>
      <c r="H137" s="34">
        <f t="shared" si="5"/>
        <v>307.75158418985728</v>
      </c>
    </row>
    <row r="138" spans="2:18" x14ac:dyDescent="0.2">
      <c r="B138" s="19">
        <v>4000</v>
      </c>
      <c r="C138">
        <v>10000</v>
      </c>
      <c r="D138" s="19">
        <v>3</v>
      </c>
      <c r="E138">
        <v>5</v>
      </c>
      <c r="F138" s="37">
        <v>167.56788615767394</v>
      </c>
      <c r="G138">
        <f t="shared" si="4"/>
        <v>225.77268665459235</v>
      </c>
      <c r="H138" s="34">
        <f t="shared" si="5"/>
        <v>-34.735056836696188</v>
      </c>
    </row>
    <row r="139" spans="2:18" x14ac:dyDescent="0.2">
      <c r="B139" s="19">
        <v>6000</v>
      </c>
      <c r="C139">
        <v>10000</v>
      </c>
      <c r="D139" s="19">
        <v>3</v>
      </c>
      <c r="E139">
        <v>5</v>
      </c>
      <c r="F139" s="37">
        <v>77.828094222848463</v>
      </c>
      <c r="G139">
        <f t="shared" si="4"/>
        <v>8.3898857781845209</v>
      </c>
      <c r="H139" s="34">
        <f t="shared" si="5"/>
        <v>89.219977873078321</v>
      </c>
    </row>
    <row r="140" spans="2:18" x14ac:dyDescent="0.2">
      <c r="B140" s="19">
        <v>8000</v>
      </c>
      <c r="C140">
        <v>10000</v>
      </c>
      <c r="D140" s="19">
        <v>3</v>
      </c>
      <c r="E140">
        <v>5</v>
      </c>
      <c r="F140" s="37">
        <v>31.682759056596744</v>
      </c>
      <c r="G140">
        <f t="shared" si="4"/>
        <v>-208.99291509822353</v>
      </c>
      <c r="H140" s="34">
        <f t="shared" si="5"/>
        <v>759.64240906193629</v>
      </c>
    </row>
    <row r="141" spans="2:18" x14ac:dyDescent="0.2">
      <c r="B141" s="19">
        <v>4000</v>
      </c>
      <c r="C141">
        <v>6000</v>
      </c>
      <c r="D141" s="19">
        <v>3</v>
      </c>
      <c r="E141">
        <v>10</v>
      </c>
      <c r="F141" s="37">
        <v>88.244305271757284</v>
      </c>
      <c r="G141">
        <f t="shared" si="4"/>
        <v>-127.12467864593145</v>
      </c>
      <c r="H141" s="34">
        <f t="shared" si="5"/>
        <v>244.0599234754448</v>
      </c>
    </row>
    <row r="142" spans="2:18" x14ac:dyDescent="0.2">
      <c r="B142" s="19">
        <v>6000</v>
      </c>
      <c r="C142">
        <v>6000</v>
      </c>
      <c r="D142" s="19">
        <v>3</v>
      </c>
      <c r="E142">
        <v>10</v>
      </c>
      <c r="F142" s="37">
        <v>41.248226482924139</v>
      </c>
      <c r="G142">
        <f t="shared" si="4"/>
        <v>-344.50747952233928</v>
      </c>
      <c r="H142" s="34">
        <f t="shared" si="5"/>
        <v>935.20555644970034</v>
      </c>
    </row>
    <row r="143" spans="2:18" x14ac:dyDescent="0.2">
      <c r="B143" s="19">
        <v>8000</v>
      </c>
      <c r="C143">
        <v>6000</v>
      </c>
      <c r="D143" s="19">
        <v>3</v>
      </c>
      <c r="E143">
        <v>10</v>
      </c>
      <c r="F143" s="37">
        <v>28.910018683054819</v>
      </c>
      <c r="G143">
        <f t="shared" si="4"/>
        <v>-561.89028039874734</v>
      </c>
      <c r="H143" s="34">
        <f t="shared" si="5"/>
        <v>2043.583248972755</v>
      </c>
    </row>
    <row r="144" spans="2:18" x14ac:dyDescent="0.2">
      <c r="B144" s="19">
        <v>4000</v>
      </c>
      <c r="C144">
        <v>8000</v>
      </c>
      <c r="D144" s="19">
        <v>3</v>
      </c>
      <c r="E144">
        <v>10</v>
      </c>
      <c r="F144" s="37">
        <v>61.876198353430382</v>
      </c>
      <c r="G144">
        <f t="shared" si="4"/>
        <v>-243.71697760325696</v>
      </c>
      <c r="H144" s="34">
        <f t="shared" si="5"/>
        <v>493.87839603714986</v>
      </c>
    </row>
    <row r="145" spans="2:8" x14ac:dyDescent="0.2">
      <c r="B145" s="19">
        <v>6000</v>
      </c>
      <c r="C145">
        <v>8000</v>
      </c>
      <c r="D145" s="19">
        <v>3</v>
      </c>
      <c r="E145">
        <v>10</v>
      </c>
      <c r="F145" s="37">
        <v>33.66180130239033</v>
      </c>
      <c r="G145">
        <f t="shared" si="4"/>
        <v>-461.09977847966479</v>
      </c>
      <c r="H145" s="34">
        <f t="shared" si="5"/>
        <v>1469.8012602995254</v>
      </c>
    </row>
    <row r="146" spans="2:8" x14ac:dyDescent="0.2">
      <c r="B146" s="19">
        <v>8000</v>
      </c>
      <c r="C146">
        <v>8000</v>
      </c>
      <c r="D146" s="19">
        <v>3</v>
      </c>
      <c r="E146">
        <v>10</v>
      </c>
      <c r="F146" s="37">
        <v>23.292855018045039</v>
      </c>
      <c r="G146">
        <f t="shared" si="4"/>
        <v>-678.48257935607262</v>
      </c>
      <c r="H146" s="34">
        <f t="shared" si="5"/>
        <v>3012.8356263345577</v>
      </c>
    </row>
    <row r="147" spans="2:8" x14ac:dyDescent="0.2">
      <c r="B147" s="19">
        <v>4000</v>
      </c>
      <c r="C147">
        <v>10000</v>
      </c>
      <c r="D147" s="19">
        <v>3</v>
      </c>
      <c r="E147">
        <v>10</v>
      </c>
      <c r="F147" s="37">
        <v>42.980566238448766</v>
      </c>
      <c r="G147">
        <f t="shared" si="4"/>
        <v>-360.30927656058225</v>
      </c>
      <c r="H147" s="34">
        <f t="shared" si="5"/>
        <v>938.30742145566091</v>
      </c>
    </row>
    <row r="148" spans="2:8" x14ac:dyDescent="0.2">
      <c r="B148" s="19">
        <v>6000</v>
      </c>
      <c r="C148">
        <v>10000</v>
      </c>
      <c r="D148" s="19">
        <v>3</v>
      </c>
      <c r="E148">
        <v>10</v>
      </c>
      <c r="F148" s="37">
        <v>27.891676329040628</v>
      </c>
      <c r="G148">
        <f t="shared" si="4"/>
        <v>-577.69207743699008</v>
      </c>
      <c r="H148" s="34">
        <f t="shared" si="5"/>
        <v>2171.1988430595002</v>
      </c>
    </row>
    <row r="149" spans="2:8" x14ac:dyDescent="0.2">
      <c r="B149" s="19">
        <v>8000</v>
      </c>
      <c r="C149">
        <v>10000</v>
      </c>
      <c r="D149" s="19">
        <v>3</v>
      </c>
      <c r="E149">
        <v>10</v>
      </c>
      <c r="F149" s="37">
        <v>19.039244113263663</v>
      </c>
      <c r="G149">
        <f t="shared" si="4"/>
        <v>-795.07487831339813</v>
      </c>
      <c r="H149" s="34">
        <f t="shared" si="5"/>
        <v>4275.9792226179306</v>
      </c>
    </row>
    <row r="150" spans="2:8" x14ac:dyDescent="0.2">
      <c r="B150" s="19">
        <v>4000</v>
      </c>
      <c r="C150">
        <v>6000</v>
      </c>
      <c r="D150" s="19">
        <v>4</v>
      </c>
      <c r="E150">
        <v>0</v>
      </c>
      <c r="F150" s="37">
        <v>1924.4755254498739</v>
      </c>
      <c r="G150">
        <f t="shared" si="4"/>
        <v>1654.899829920821</v>
      </c>
      <c r="H150" s="34">
        <f t="shared" si="5"/>
        <v>14.007748706808606</v>
      </c>
    </row>
    <row r="151" spans="2:8" x14ac:dyDescent="0.2">
      <c r="B151" s="19">
        <v>6000</v>
      </c>
      <c r="C151">
        <v>6000</v>
      </c>
      <c r="D151" s="19">
        <v>4</v>
      </c>
      <c r="E151">
        <v>0</v>
      </c>
      <c r="F151" s="37">
        <v>1549.5512767215985</v>
      </c>
      <c r="G151">
        <f t="shared" si="4"/>
        <v>1437.5170290444132</v>
      </c>
      <c r="H151" s="34">
        <f t="shared" si="5"/>
        <v>7.2301090877235934</v>
      </c>
    </row>
    <row r="152" spans="2:8" x14ac:dyDescent="0.2">
      <c r="B152" s="19">
        <v>8000</v>
      </c>
      <c r="C152">
        <v>6000</v>
      </c>
      <c r="D152" s="19">
        <v>4</v>
      </c>
      <c r="E152">
        <v>0</v>
      </c>
      <c r="F152" s="37">
        <v>1228.7724503975571</v>
      </c>
      <c r="G152">
        <f t="shared" si="4"/>
        <v>1220.1342281680052</v>
      </c>
      <c r="H152" s="34">
        <f t="shared" si="5"/>
        <v>0.70299608578928874</v>
      </c>
    </row>
    <row r="153" spans="2:8" x14ac:dyDescent="0.2">
      <c r="B153" s="19">
        <v>4000</v>
      </c>
      <c r="C153">
        <v>8000</v>
      </c>
      <c r="D153" s="19">
        <v>4</v>
      </c>
      <c r="E153">
        <v>0</v>
      </c>
      <c r="F153" s="37">
        <v>1674.0665662251704</v>
      </c>
      <c r="G153">
        <f t="shared" si="4"/>
        <v>1538.3075309634955</v>
      </c>
      <c r="H153" s="34">
        <f t="shared" si="5"/>
        <v>8.1095362634113179</v>
      </c>
    </row>
    <row r="154" spans="2:8" x14ac:dyDescent="0.2">
      <c r="B154" s="19">
        <v>6000</v>
      </c>
      <c r="C154">
        <v>8000</v>
      </c>
      <c r="D154" s="19">
        <v>4</v>
      </c>
      <c r="E154">
        <v>0</v>
      </c>
      <c r="F154" s="37">
        <v>1334.3665156734644</v>
      </c>
      <c r="G154">
        <f t="shared" si="4"/>
        <v>1320.9247300870877</v>
      </c>
      <c r="H154" s="34">
        <f t="shared" si="5"/>
        <v>1.0073533342218586</v>
      </c>
    </row>
    <row r="155" spans="2:8" x14ac:dyDescent="0.2">
      <c r="B155" s="19">
        <v>8000</v>
      </c>
      <c r="C155">
        <v>8000</v>
      </c>
      <c r="D155" s="19">
        <v>4</v>
      </c>
      <c r="E155">
        <v>0</v>
      </c>
      <c r="F155" s="37">
        <v>1046.884580143417</v>
      </c>
      <c r="G155">
        <f t="shared" si="4"/>
        <v>1103.5419292106799</v>
      </c>
      <c r="H155" s="34">
        <f t="shared" si="5"/>
        <v>-5.411995757880125</v>
      </c>
    </row>
    <row r="156" spans="2:8" x14ac:dyDescent="0.2">
      <c r="B156" s="19">
        <v>4000</v>
      </c>
      <c r="C156">
        <v>10000</v>
      </c>
      <c r="D156" s="19">
        <v>4</v>
      </c>
      <c r="E156">
        <v>0</v>
      </c>
      <c r="F156" s="37">
        <v>1457.1756518914208</v>
      </c>
      <c r="G156">
        <f t="shared" si="4"/>
        <v>1421.7152320061703</v>
      </c>
      <c r="H156" s="34">
        <f t="shared" si="5"/>
        <v>2.4335034585036293</v>
      </c>
    </row>
    <row r="157" spans="2:8" x14ac:dyDescent="0.2">
      <c r="B157" s="19">
        <v>6000</v>
      </c>
      <c r="C157">
        <v>10000</v>
      </c>
      <c r="D157" s="19">
        <v>4</v>
      </c>
      <c r="E157">
        <v>0</v>
      </c>
      <c r="F157" s="37">
        <v>1152.3292909643533</v>
      </c>
      <c r="G157">
        <f t="shared" si="4"/>
        <v>1204.3324311297624</v>
      </c>
      <c r="H157" s="34">
        <f t="shared" si="5"/>
        <v>-4.5128715006358231</v>
      </c>
    </row>
    <row r="158" spans="2:8" x14ac:dyDescent="0.2">
      <c r="B158" s="19">
        <v>8000</v>
      </c>
      <c r="C158">
        <v>10000</v>
      </c>
      <c r="D158" s="19">
        <v>4</v>
      </c>
      <c r="E158">
        <v>0</v>
      </c>
      <c r="F158" s="37">
        <v>897.00772725663046</v>
      </c>
      <c r="G158">
        <f t="shared" si="4"/>
        <v>986.94963025335437</v>
      </c>
      <c r="H158" s="34">
        <f t="shared" si="5"/>
        <v>-10.026881626961934</v>
      </c>
    </row>
    <row r="159" spans="2:8" x14ac:dyDescent="0.2">
      <c r="B159" s="19">
        <v>4000</v>
      </c>
      <c r="C159">
        <v>6000</v>
      </c>
      <c r="D159" s="19">
        <v>4</v>
      </c>
      <c r="E159">
        <v>2</v>
      </c>
      <c r="F159" s="37">
        <v>1365.6984329644051</v>
      </c>
      <c r="G159">
        <f t="shared" si="4"/>
        <v>1420.4670446347511</v>
      </c>
      <c r="H159" s="34">
        <f t="shared" si="5"/>
        <v>-4.0103005428119616</v>
      </c>
    </row>
    <row r="160" spans="2:8" x14ac:dyDescent="0.2">
      <c r="B160" s="19">
        <v>6000</v>
      </c>
      <c r="C160">
        <v>6000</v>
      </c>
      <c r="D160" s="19">
        <v>4</v>
      </c>
      <c r="E160">
        <v>2</v>
      </c>
      <c r="F160" s="37">
        <v>1027.668646925333</v>
      </c>
      <c r="G160">
        <f t="shared" si="4"/>
        <v>1203.0842437583433</v>
      </c>
      <c r="H160" s="34">
        <f t="shared" si="5"/>
        <v>-17.069275914744868</v>
      </c>
    </row>
    <row r="161" spans="2:8" x14ac:dyDescent="0.2">
      <c r="B161" s="19">
        <v>8000</v>
      </c>
      <c r="C161">
        <v>6000</v>
      </c>
      <c r="D161" s="19">
        <v>4</v>
      </c>
      <c r="E161">
        <v>2</v>
      </c>
      <c r="F161" s="37">
        <v>749.63390019460599</v>
      </c>
      <c r="G161">
        <f t="shared" si="4"/>
        <v>985.70144288193535</v>
      </c>
      <c r="H161" s="34">
        <f t="shared" si="5"/>
        <v>-31.491044178504456</v>
      </c>
    </row>
    <row r="162" spans="2:8" x14ac:dyDescent="0.2">
      <c r="B162" s="19">
        <v>4000</v>
      </c>
      <c r="C162">
        <v>8000</v>
      </c>
      <c r="D162" s="19">
        <v>4</v>
      </c>
      <c r="E162">
        <v>2</v>
      </c>
      <c r="F162" s="37">
        <v>1145.5479556813304</v>
      </c>
      <c r="G162">
        <f t="shared" si="4"/>
        <v>1303.8747456774256</v>
      </c>
      <c r="H162" s="34">
        <f t="shared" si="5"/>
        <v>-13.821052991354527</v>
      </c>
    </row>
    <row r="163" spans="2:8" x14ac:dyDescent="0.2">
      <c r="B163" s="19">
        <v>6000</v>
      </c>
      <c r="C163">
        <v>8000</v>
      </c>
      <c r="D163" s="19">
        <v>4</v>
      </c>
      <c r="E163">
        <v>2</v>
      </c>
      <c r="F163" s="37">
        <v>849.16759928087345</v>
      </c>
      <c r="G163">
        <f t="shared" si="4"/>
        <v>1086.4919448010178</v>
      </c>
      <c r="H163" s="34">
        <f t="shared" si="5"/>
        <v>-27.94788045624032</v>
      </c>
    </row>
    <row r="164" spans="2:8" x14ac:dyDescent="0.2">
      <c r="B164" s="19">
        <v>8000</v>
      </c>
      <c r="C164">
        <v>8000</v>
      </c>
      <c r="D164" s="19">
        <v>4</v>
      </c>
      <c r="E164">
        <v>2</v>
      </c>
      <c r="F164" s="37">
        <v>608.0948638664222</v>
      </c>
      <c r="G164">
        <f t="shared" si="4"/>
        <v>869.10914392461007</v>
      </c>
      <c r="H164" s="34">
        <f t="shared" si="5"/>
        <v>-42.923283120431655</v>
      </c>
    </row>
    <row r="165" spans="2:8" x14ac:dyDescent="0.2">
      <c r="B165" s="19">
        <v>4000</v>
      </c>
      <c r="C165">
        <v>10000</v>
      </c>
      <c r="D165" s="19">
        <v>4</v>
      </c>
      <c r="E165">
        <v>2</v>
      </c>
      <c r="F165" s="37">
        <v>965.9448021009423</v>
      </c>
      <c r="G165">
        <f t="shared" si="4"/>
        <v>1187.2824467201003</v>
      </c>
      <c r="H165" s="34">
        <f t="shared" si="5"/>
        <v>-22.914108977836602</v>
      </c>
    </row>
    <row r="166" spans="2:8" x14ac:dyDescent="0.2">
      <c r="B166" s="19">
        <v>6000</v>
      </c>
      <c r="C166">
        <v>10000</v>
      </c>
      <c r="D166" s="19">
        <v>4</v>
      </c>
      <c r="E166">
        <v>2</v>
      </c>
      <c r="F166" s="37">
        <v>706.58118449359097</v>
      </c>
      <c r="G166">
        <f t="shared" si="4"/>
        <v>969.89964584369261</v>
      </c>
      <c r="H166" s="34">
        <f t="shared" si="5"/>
        <v>-37.266554378860633</v>
      </c>
    </row>
    <row r="167" spans="2:8" x14ac:dyDescent="0.2">
      <c r="B167" s="19">
        <v>8000</v>
      </c>
      <c r="C167">
        <v>10000</v>
      </c>
      <c r="D167" s="19">
        <v>4</v>
      </c>
      <c r="E167">
        <v>2</v>
      </c>
      <c r="F167" s="37">
        <v>499.98830104282172</v>
      </c>
      <c r="G167">
        <f t="shared" si="4"/>
        <v>752.51684496728456</v>
      </c>
      <c r="H167" s="34">
        <f t="shared" si="5"/>
        <v>-50.506890540791858</v>
      </c>
    </row>
    <row r="168" spans="2:8" x14ac:dyDescent="0.2">
      <c r="B168" s="19">
        <v>4000</v>
      </c>
      <c r="C168">
        <v>6000</v>
      </c>
      <c r="D168" s="19">
        <v>4</v>
      </c>
      <c r="E168">
        <v>5</v>
      </c>
      <c r="F168" s="37">
        <v>849.7864960573836</v>
      </c>
      <c r="G168">
        <f t="shared" si="4"/>
        <v>1068.8178667056463</v>
      </c>
      <c r="H168" s="34">
        <f t="shared" si="5"/>
        <v>-25.774870707462057</v>
      </c>
    </row>
    <row r="169" spans="2:8" x14ac:dyDescent="0.2">
      <c r="B169" s="19">
        <v>6000</v>
      </c>
      <c r="C169">
        <v>6000</v>
      </c>
      <c r="D169" s="19">
        <v>4</v>
      </c>
      <c r="E169">
        <v>5</v>
      </c>
      <c r="F169" s="37">
        <v>587.61514170272346</v>
      </c>
      <c r="G169">
        <f t="shared" si="4"/>
        <v>851.43506582923862</v>
      </c>
      <c r="H169" s="34">
        <f t="shared" si="5"/>
        <v>-44.896719877239413</v>
      </c>
    </row>
    <row r="170" spans="2:8" x14ac:dyDescent="0.2">
      <c r="B170" s="19">
        <v>8000</v>
      </c>
      <c r="C170">
        <v>6000</v>
      </c>
      <c r="D170" s="19">
        <v>4</v>
      </c>
      <c r="E170">
        <v>5</v>
      </c>
      <c r="F170" s="37">
        <v>385.39864739194383</v>
      </c>
      <c r="G170">
        <f t="shared" si="4"/>
        <v>634.05226495283057</v>
      </c>
      <c r="H170" s="34">
        <f t="shared" si="5"/>
        <v>-64.518549622207232</v>
      </c>
    </row>
    <row r="171" spans="2:8" x14ac:dyDescent="0.2">
      <c r="B171" s="19">
        <v>4000</v>
      </c>
      <c r="C171">
        <v>8000</v>
      </c>
      <c r="D171" s="19">
        <v>4</v>
      </c>
      <c r="E171">
        <v>5</v>
      </c>
      <c r="F171" s="37">
        <v>692.03743744051337</v>
      </c>
      <c r="G171">
        <f t="shared" si="4"/>
        <v>952.22556774832094</v>
      </c>
      <c r="H171" s="34">
        <f t="shared" si="5"/>
        <v>-37.597406763152605</v>
      </c>
    </row>
    <row r="172" spans="2:8" x14ac:dyDescent="0.2">
      <c r="B172" s="19">
        <v>6000</v>
      </c>
      <c r="C172">
        <v>8000</v>
      </c>
      <c r="D172" s="19">
        <v>4</v>
      </c>
      <c r="E172">
        <v>5</v>
      </c>
      <c r="F172" s="37">
        <v>471.04679597099999</v>
      </c>
      <c r="G172">
        <f t="shared" si="4"/>
        <v>734.84276687191311</v>
      </c>
      <c r="H172" s="34">
        <f t="shared" si="5"/>
        <v>-56.00207307580407</v>
      </c>
    </row>
    <row r="173" spans="2:8" x14ac:dyDescent="0.2">
      <c r="B173" s="19">
        <v>8000</v>
      </c>
      <c r="C173">
        <v>8000</v>
      </c>
      <c r="D173" s="19">
        <v>4</v>
      </c>
      <c r="E173">
        <v>5</v>
      </c>
      <c r="F173" s="37">
        <v>302.61649907298744</v>
      </c>
      <c r="G173">
        <f t="shared" si="4"/>
        <v>517.45996599550529</v>
      </c>
      <c r="H173" s="34">
        <f t="shared" si="5"/>
        <v>-70.9952919225003</v>
      </c>
    </row>
    <row r="174" spans="2:8" x14ac:dyDescent="0.2">
      <c r="B174" s="19">
        <v>4000</v>
      </c>
      <c r="C174">
        <v>10000</v>
      </c>
      <c r="D174" s="19">
        <v>4</v>
      </c>
      <c r="E174">
        <v>5</v>
      </c>
      <c r="F174" s="37">
        <v>574.31843953882537</v>
      </c>
      <c r="G174">
        <f t="shared" si="4"/>
        <v>835.63326879099566</v>
      </c>
      <c r="H174" s="34">
        <f t="shared" si="5"/>
        <v>-45.499989424334814</v>
      </c>
    </row>
    <row r="175" spans="2:8" x14ac:dyDescent="0.2">
      <c r="B175" s="19">
        <v>6000</v>
      </c>
      <c r="C175">
        <v>10000</v>
      </c>
      <c r="D175" s="19">
        <v>4</v>
      </c>
      <c r="E175">
        <v>5</v>
      </c>
      <c r="F175" s="37">
        <v>382.74923090887927</v>
      </c>
      <c r="G175">
        <f t="shared" si="4"/>
        <v>618.25046791458783</v>
      </c>
      <c r="H175" s="34">
        <f t="shared" si="5"/>
        <v>-61.528859626049545</v>
      </c>
    </row>
    <row r="176" spans="2:8" x14ac:dyDescent="0.2">
      <c r="B176" s="19">
        <v>8000</v>
      </c>
      <c r="C176">
        <v>10000</v>
      </c>
      <c r="D176" s="19">
        <v>4</v>
      </c>
      <c r="E176">
        <v>5</v>
      </c>
      <c r="F176" s="37">
        <v>240.86162976660759</v>
      </c>
      <c r="G176">
        <f t="shared" si="4"/>
        <v>400.86766703817977</v>
      </c>
      <c r="H176" s="34">
        <f t="shared" si="5"/>
        <v>-66.430687788094929</v>
      </c>
    </row>
    <row r="177" spans="2:8" x14ac:dyDescent="0.2">
      <c r="B177" s="19">
        <v>4000</v>
      </c>
      <c r="C177">
        <v>6000</v>
      </c>
      <c r="D177" s="19">
        <v>4</v>
      </c>
      <c r="E177">
        <v>10</v>
      </c>
      <c r="F177" s="37">
        <v>399.72414197439349</v>
      </c>
      <c r="G177">
        <f t="shared" si="4"/>
        <v>482.73590349047186</v>
      </c>
      <c r="H177" s="34">
        <f t="shared" si="5"/>
        <v>-20.767262419040016</v>
      </c>
    </row>
    <row r="178" spans="2:8" x14ac:dyDescent="0.2">
      <c r="B178" s="19">
        <v>6000</v>
      </c>
      <c r="C178">
        <v>6000</v>
      </c>
      <c r="D178" s="19">
        <v>4</v>
      </c>
      <c r="E178">
        <v>10</v>
      </c>
      <c r="F178" s="37">
        <v>206.7595131265231</v>
      </c>
      <c r="G178">
        <f t="shared" si="4"/>
        <v>265.35310261406403</v>
      </c>
      <c r="H178" s="34">
        <f t="shared" si="5"/>
        <v>-28.33900535047475</v>
      </c>
    </row>
    <row r="179" spans="2:8" x14ac:dyDescent="0.2">
      <c r="B179" s="19">
        <v>8000</v>
      </c>
      <c r="C179">
        <v>6000</v>
      </c>
      <c r="D179" s="19">
        <v>4</v>
      </c>
      <c r="E179">
        <v>10</v>
      </c>
      <c r="F179" s="37">
        <v>115.39621389566604</v>
      </c>
      <c r="G179">
        <f t="shared" ref="G179:G221" si="6">$K$130*B179+$K$131*C179+$K$132*D179+$K$133*E179+$K$129</f>
        <v>47.970301737655973</v>
      </c>
      <c r="H179" s="34">
        <f t="shared" ref="H179:H221" si="7">(F179-G179)/F179*100</f>
        <v>58.429917136598874</v>
      </c>
    </row>
    <row r="180" spans="2:8" x14ac:dyDescent="0.2">
      <c r="B180" s="19">
        <v>4000</v>
      </c>
      <c r="C180">
        <v>8000</v>
      </c>
      <c r="D180" s="19">
        <v>4</v>
      </c>
      <c r="E180">
        <v>10</v>
      </c>
      <c r="F180" s="37">
        <v>295.46563278719816</v>
      </c>
      <c r="G180">
        <f t="shared" si="6"/>
        <v>366.14360453314634</v>
      </c>
      <c r="H180" s="34">
        <f t="shared" si="7"/>
        <v>-23.920877389097992</v>
      </c>
    </row>
    <row r="181" spans="2:8" x14ac:dyDescent="0.2">
      <c r="B181" s="19">
        <v>6000</v>
      </c>
      <c r="C181">
        <v>8000</v>
      </c>
      <c r="D181" s="19">
        <v>4</v>
      </c>
      <c r="E181">
        <v>10</v>
      </c>
      <c r="F181" s="37">
        <v>157.75086044564625</v>
      </c>
      <c r="G181">
        <f t="shared" si="6"/>
        <v>148.76080365673852</v>
      </c>
      <c r="H181" s="34">
        <f t="shared" si="7"/>
        <v>5.6988955645064765</v>
      </c>
    </row>
    <row r="182" spans="2:8" x14ac:dyDescent="0.2">
      <c r="B182" s="19">
        <v>8000</v>
      </c>
      <c r="C182">
        <v>8000</v>
      </c>
      <c r="D182" s="19">
        <v>4</v>
      </c>
      <c r="E182">
        <v>10</v>
      </c>
      <c r="F182" s="37">
        <v>85.188445067844427</v>
      </c>
      <c r="G182">
        <f t="shared" si="6"/>
        <v>-68.621997219669311</v>
      </c>
      <c r="H182" s="34">
        <f t="shared" si="7"/>
        <v>180.5531749816756</v>
      </c>
    </row>
    <row r="183" spans="2:8" x14ac:dyDescent="0.2">
      <c r="B183" s="19">
        <v>4000</v>
      </c>
      <c r="C183">
        <v>10000</v>
      </c>
      <c r="D183" s="19">
        <v>4</v>
      </c>
      <c r="E183">
        <v>10</v>
      </c>
      <c r="F183" s="37">
        <v>222.8864038951331</v>
      </c>
      <c r="G183">
        <f t="shared" si="6"/>
        <v>249.55130557582106</v>
      </c>
      <c r="H183" s="34">
        <f t="shared" si="7"/>
        <v>-11.963449189674961</v>
      </c>
    </row>
    <row r="184" spans="2:8" x14ac:dyDescent="0.2">
      <c r="B184" s="19">
        <v>6000</v>
      </c>
      <c r="C184">
        <v>10000</v>
      </c>
      <c r="D184" s="19">
        <v>4</v>
      </c>
      <c r="E184">
        <v>10</v>
      </c>
      <c r="F184" s="37">
        <v>120.15584232079026</v>
      </c>
      <c r="G184">
        <f t="shared" si="6"/>
        <v>32.168504699413234</v>
      </c>
      <c r="H184" s="34">
        <f t="shared" si="7"/>
        <v>73.227681585777376</v>
      </c>
    </row>
    <row r="185" spans="2:8" x14ac:dyDescent="0.2">
      <c r="B185" s="19">
        <v>8000</v>
      </c>
      <c r="C185">
        <v>10000</v>
      </c>
      <c r="D185" s="19">
        <v>4</v>
      </c>
      <c r="E185">
        <v>10</v>
      </c>
      <c r="F185" s="37">
        <v>64.495611920881743</v>
      </c>
      <c r="G185">
        <f t="shared" si="6"/>
        <v>-185.21429617699482</v>
      </c>
      <c r="H185" s="34">
        <f t="shared" si="7"/>
        <v>387.17348461504866</v>
      </c>
    </row>
    <row r="186" spans="2:8" x14ac:dyDescent="0.2">
      <c r="B186" s="19">
        <v>4000</v>
      </c>
      <c r="C186">
        <v>6000</v>
      </c>
      <c r="D186" s="19">
        <v>6</v>
      </c>
      <c r="E186">
        <v>0</v>
      </c>
      <c r="F186" s="37">
        <v>3694.7844694853457</v>
      </c>
      <c r="G186">
        <f t="shared" si="6"/>
        <v>2874.6209941936277</v>
      </c>
      <c r="H186" s="34">
        <f t="shared" si="7"/>
        <v>22.197870594761927</v>
      </c>
    </row>
    <row r="187" spans="2:8" x14ac:dyDescent="0.2">
      <c r="B187" s="19">
        <v>6000</v>
      </c>
      <c r="C187">
        <v>6000</v>
      </c>
      <c r="D187" s="19">
        <v>6</v>
      </c>
      <c r="E187">
        <v>0</v>
      </c>
      <c r="F187" s="37">
        <v>3239.2623681949285</v>
      </c>
      <c r="G187">
        <f t="shared" si="6"/>
        <v>2657.2381933172201</v>
      </c>
      <c r="H187" s="34">
        <f t="shared" si="7"/>
        <v>17.967799724788581</v>
      </c>
    </row>
    <row r="188" spans="2:8" x14ac:dyDescent="0.2">
      <c r="B188" s="19">
        <v>8000</v>
      </c>
      <c r="C188">
        <v>6000</v>
      </c>
      <c r="D188" s="19">
        <v>6</v>
      </c>
      <c r="E188">
        <v>0</v>
      </c>
      <c r="F188" s="37">
        <v>2827.7590503591623</v>
      </c>
      <c r="G188">
        <f t="shared" si="6"/>
        <v>2439.8553924408116</v>
      </c>
      <c r="H188" s="34">
        <f t="shared" si="7"/>
        <v>13.717705469604347</v>
      </c>
    </row>
    <row r="189" spans="2:8" x14ac:dyDescent="0.2">
      <c r="B189" s="19">
        <v>4000</v>
      </c>
      <c r="C189">
        <v>8000</v>
      </c>
      <c r="D189" s="19">
        <v>6</v>
      </c>
      <c r="E189">
        <v>0</v>
      </c>
      <c r="F189" s="37">
        <v>3373.6708305505299</v>
      </c>
      <c r="G189">
        <f t="shared" si="6"/>
        <v>2758.0286952363022</v>
      </c>
      <c r="H189" s="34">
        <f t="shared" si="7"/>
        <v>18.248435198218928</v>
      </c>
    </row>
    <row r="190" spans="2:8" x14ac:dyDescent="0.2">
      <c r="B190" s="19">
        <v>6000</v>
      </c>
      <c r="C190">
        <v>8000</v>
      </c>
      <c r="D190" s="19">
        <v>6</v>
      </c>
      <c r="E190">
        <v>0</v>
      </c>
      <c r="F190" s="37">
        <v>2947.5416173246763</v>
      </c>
      <c r="G190">
        <f t="shared" si="6"/>
        <v>2540.6458943598946</v>
      </c>
      <c r="H190" s="34">
        <f t="shared" si="7"/>
        <v>13.804579401803288</v>
      </c>
    </row>
    <row r="191" spans="2:8" x14ac:dyDescent="0.2">
      <c r="B191" s="19">
        <v>8000</v>
      </c>
      <c r="C191">
        <v>8000</v>
      </c>
      <c r="D191" s="19">
        <v>6</v>
      </c>
      <c r="E191">
        <v>0</v>
      </c>
      <c r="F191" s="37">
        <v>2563.4037786983176</v>
      </c>
      <c r="G191">
        <f t="shared" si="6"/>
        <v>2323.2630934834865</v>
      </c>
      <c r="H191" s="34">
        <f t="shared" si="7"/>
        <v>9.3680397606643631</v>
      </c>
    </row>
    <row r="192" spans="2:8" x14ac:dyDescent="0.2">
      <c r="B192" s="19">
        <v>4000</v>
      </c>
      <c r="C192">
        <v>10000</v>
      </c>
      <c r="D192" s="19">
        <v>6</v>
      </c>
      <c r="E192">
        <v>0</v>
      </c>
      <c r="F192" s="37">
        <v>3080.5430362882216</v>
      </c>
      <c r="G192">
        <f t="shared" si="6"/>
        <v>2641.4363962789766</v>
      </c>
      <c r="H192" s="34">
        <f t="shared" si="7"/>
        <v>14.254195927037888</v>
      </c>
    </row>
    <row r="193" spans="2:8" x14ac:dyDescent="0.2">
      <c r="B193" s="19">
        <v>6000</v>
      </c>
      <c r="C193">
        <v>10000</v>
      </c>
      <c r="D193" s="19">
        <v>6</v>
      </c>
      <c r="E193">
        <v>0</v>
      </c>
      <c r="F193" s="37">
        <v>2681.8604778664103</v>
      </c>
      <c r="G193">
        <f t="shared" si="6"/>
        <v>2424.053595402569</v>
      </c>
      <c r="H193" s="34">
        <f t="shared" si="7"/>
        <v>9.6129863798486248</v>
      </c>
    </row>
    <row r="194" spans="2:8" x14ac:dyDescent="0.2">
      <c r="B194" s="19">
        <v>8000</v>
      </c>
      <c r="C194">
        <v>10000</v>
      </c>
      <c r="D194" s="19">
        <v>6</v>
      </c>
      <c r="E194">
        <v>0</v>
      </c>
      <c r="F194" s="37">
        <v>2322.4405288124262</v>
      </c>
      <c r="G194">
        <f t="shared" si="6"/>
        <v>2206.670794526161</v>
      </c>
      <c r="H194" s="34">
        <f t="shared" si="7"/>
        <v>4.9848309504598509</v>
      </c>
    </row>
    <row r="195" spans="2:8" x14ac:dyDescent="0.2">
      <c r="B195" s="19">
        <v>4000</v>
      </c>
      <c r="C195">
        <v>6000</v>
      </c>
      <c r="D195" s="19">
        <v>6</v>
      </c>
      <c r="E195">
        <v>2</v>
      </c>
      <c r="F195" s="37">
        <v>3085.4314416921056</v>
      </c>
      <c r="G195">
        <f t="shared" si="6"/>
        <v>2640.188208907558</v>
      </c>
      <c r="H195" s="34">
        <f t="shared" si="7"/>
        <v>14.430501574858145</v>
      </c>
    </row>
    <row r="196" spans="2:8" x14ac:dyDescent="0.2">
      <c r="B196" s="19">
        <v>6000</v>
      </c>
      <c r="C196">
        <v>6000</v>
      </c>
      <c r="D196" s="19">
        <v>6</v>
      </c>
      <c r="E196">
        <v>2</v>
      </c>
      <c r="F196" s="37">
        <v>2652.1875512216748</v>
      </c>
      <c r="G196">
        <f t="shared" si="6"/>
        <v>2422.8054080311504</v>
      </c>
      <c r="H196" s="34">
        <f t="shared" si="7"/>
        <v>8.6487904328207978</v>
      </c>
    </row>
    <row r="197" spans="2:8" x14ac:dyDescent="0.2">
      <c r="B197" s="19">
        <v>8000</v>
      </c>
      <c r="C197">
        <v>6000</v>
      </c>
      <c r="D197" s="19">
        <v>6</v>
      </c>
      <c r="E197">
        <v>2</v>
      </c>
      <c r="F197" s="37">
        <v>2256.7742672653171</v>
      </c>
      <c r="G197">
        <f t="shared" si="6"/>
        <v>2205.4226071547419</v>
      </c>
      <c r="H197" s="34">
        <f t="shared" si="7"/>
        <v>2.2754451278284678</v>
      </c>
    </row>
    <row r="198" spans="2:8" x14ac:dyDescent="0.2">
      <c r="B198" s="19">
        <v>4000</v>
      </c>
      <c r="C198">
        <v>8000</v>
      </c>
      <c r="D198" s="19">
        <v>6</v>
      </c>
      <c r="E198">
        <v>2</v>
      </c>
      <c r="F198" s="37">
        <v>2779.8682311709813</v>
      </c>
      <c r="G198">
        <f t="shared" si="6"/>
        <v>2523.5959099502325</v>
      </c>
      <c r="H198" s="34">
        <f t="shared" si="7"/>
        <v>9.2188657846130226</v>
      </c>
    </row>
    <row r="199" spans="2:8" x14ac:dyDescent="0.2">
      <c r="B199" s="19">
        <v>6000</v>
      </c>
      <c r="C199">
        <v>8000</v>
      </c>
      <c r="D199" s="19">
        <v>6</v>
      </c>
      <c r="E199">
        <v>2</v>
      </c>
      <c r="F199" s="37">
        <v>2372.7510135264938</v>
      </c>
      <c r="G199">
        <f t="shared" si="6"/>
        <v>2306.2131090738249</v>
      </c>
      <c r="H199" s="34">
        <f t="shared" si="7"/>
        <v>2.8042514395042737</v>
      </c>
    </row>
    <row r="200" spans="2:8" x14ac:dyDescent="0.2">
      <c r="B200" s="19">
        <v>8000</v>
      </c>
      <c r="C200">
        <v>8000</v>
      </c>
      <c r="D200" s="19">
        <v>6</v>
      </c>
      <c r="E200">
        <v>2</v>
      </c>
      <c r="F200" s="37">
        <v>2002.1504692128942</v>
      </c>
      <c r="G200">
        <f t="shared" si="6"/>
        <v>2088.8303081974168</v>
      </c>
      <c r="H200" s="34">
        <f t="shared" si="7"/>
        <v>-4.3293368963721806</v>
      </c>
    </row>
    <row r="201" spans="2:8" x14ac:dyDescent="0.2">
      <c r="B201" s="19">
        <v>4000</v>
      </c>
      <c r="C201">
        <v>10000</v>
      </c>
      <c r="D201" s="19">
        <v>6</v>
      </c>
      <c r="E201">
        <v>2</v>
      </c>
      <c r="F201" s="37">
        <v>2500.0921754790907</v>
      </c>
      <c r="G201">
        <f t="shared" si="6"/>
        <v>2407.0036109929069</v>
      </c>
      <c r="H201" s="34">
        <f t="shared" si="7"/>
        <v>3.7234052967805167</v>
      </c>
    </row>
    <row r="202" spans="2:8" x14ac:dyDescent="0.2">
      <c r="B202" s="19">
        <v>6000</v>
      </c>
      <c r="C202">
        <v>10000</v>
      </c>
      <c r="D202" s="19">
        <v>6</v>
      </c>
      <c r="E202">
        <v>2</v>
      </c>
      <c r="F202" s="37">
        <v>2119.6072893237451</v>
      </c>
      <c r="G202">
        <f t="shared" si="6"/>
        <v>2189.6208101164993</v>
      </c>
      <c r="H202" s="34">
        <f t="shared" si="7"/>
        <v>-3.3031364416137592</v>
      </c>
    </row>
    <row r="203" spans="2:8" x14ac:dyDescent="0.2">
      <c r="B203" s="19">
        <v>8000</v>
      </c>
      <c r="C203">
        <v>10000</v>
      </c>
      <c r="D203" s="19">
        <v>6</v>
      </c>
      <c r="E203">
        <v>2</v>
      </c>
      <c r="F203" s="37">
        <v>1777.9086515555678</v>
      </c>
      <c r="G203">
        <f t="shared" si="6"/>
        <v>1972.2380092400911</v>
      </c>
      <c r="H203" s="34">
        <f t="shared" si="7"/>
        <v>-10.930221725086737</v>
      </c>
    </row>
    <row r="204" spans="2:8" x14ac:dyDescent="0.2">
      <c r="B204" s="19">
        <v>4000</v>
      </c>
      <c r="C204">
        <v>6000</v>
      </c>
      <c r="D204" s="19">
        <v>6</v>
      </c>
      <c r="E204">
        <v>5</v>
      </c>
      <c r="F204" s="37">
        <v>2409.1583591206895</v>
      </c>
      <c r="G204">
        <f t="shared" si="6"/>
        <v>2288.539030978453</v>
      </c>
      <c r="H204" s="34">
        <f t="shared" si="7"/>
        <v>5.0066998578815296</v>
      </c>
    </row>
    <row r="205" spans="2:8" x14ac:dyDescent="0.2">
      <c r="B205" s="19">
        <v>6000</v>
      </c>
      <c r="C205">
        <v>6000</v>
      </c>
      <c r="D205" s="19">
        <v>6</v>
      </c>
      <c r="E205">
        <v>5</v>
      </c>
      <c r="F205" s="37">
        <v>2012.0608398774721</v>
      </c>
      <c r="G205">
        <f t="shared" si="6"/>
        <v>2071.1562301020454</v>
      </c>
      <c r="H205" s="34">
        <f t="shared" si="7"/>
        <v>-2.9370578191945733</v>
      </c>
    </row>
    <row r="206" spans="2:8" x14ac:dyDescent="0.2">
      <c r="B206" s="19">
        <v>8000</v>
      </c>
      <c r="C206">
        <v>6000</v>
      </c>
      <c r="D206" s="19">
        <v>6</v>
      </c>
      <c r="E206">
        <v>5</v>
      </c>
      <c r="F206" s="37">
        <v>1650.5148359878719</v>
      </c>
      <c r="G206">
        <f t="shared" si="6"/>
        <v>1853.7734292256368</v>
      </c>
      <c r="H206" s="34">
        <f t="shared" si="7"/>
        <v>-12.31486011551722</v>
      </c>
    </row>
    <row r="207" spans="2:8" x14ac:dyDescent="0.2">
      <c r="B207" s="19">
        <v>4000</v>
      </c>
      <c r="C207">
        <v>8000</v>
      </c>
      <c r="D207" s="19">
        <v>6</v>
      </c>
      <c r="E207">
        <v>5</v>
      </c>
      <c r="F207" s="37">
        <v>2136.3878992228556</v>
      </c>
      <c r="G207">
        <f t="shared" si="6"/>
        <v>2171.9467320211274</v>
      </c>
      <c r="H207" s="34">
        <f t="shared" si="7"/>
        <v>-1.6644371001730038</v>
      </c>
    </row>
    <row r="208" spans="2:8" x14ac:dyDescent="0.2">
      <c r="B208" s="19">
        <v>6000</v>
      </c>
      <c r="C208">
        <v>8000</v>
      </c>
      <c r="D208" s="19">
        <v>6</v>
      </c>
      <c r="E208">
        <v>5</v>
      </c>
      <c r="F208" s="37">
        <v>1765.7797321082951</v>
      </c>
      <c r="G208">
        <f t="shared" si="6"/>
        <v>1954.5639311447198</v>
      </c>
      <c r="H208" s="34">
        <f t="shared" si="7"/>
        <v>-10.691265484796416</v>
      </c>
    </row>
    <row r="209" spans="2:8" x14ac:dyDescent="0.2">
      <c r="B209" s="19">
        <v>8000</v>
      </c>
      <c r="C209">
        <v>8000</v>
      </c>
      <c r="D209" s="19">
        <v>6</v>
      </c>
      <c r="E209">
        <v>5</v>
      </c>
      <c r="F209" s="37">
        <v>1438.810244963697</v>
      </c>
      <c r="G209">
        <f t="shared" si="6"/>
        <v>1737.1811302683118</v>
      </c>
      <c r="H209" s="34">
        <f t="shared" si="7"/>
        <v>-20.737333943027568</v>
      </c>
    </row>
    <row r="210" spans="2:8" x14ac:dyDescent="0.2">
      <c r="B210" s="19">
        <v>4000</v>
      </c>
      <c r="C210">
        <v>10000</v>
      </c>
      <c r="D210" s="19">
        <v>6</v>
      </c>
      <c r="E210">
        <v>5</v>
      </c>
      <c r="F210" s="37">
        <v>1891.4506152280121</v>
      </c>
      <c r="G210">
        <f t="shared" si="6"/>
        <v>2055.3544330638019</v>
      </c>
      <c r="H210" s="34">
        <f t="shared" si="7"/>
        <v>-8.66550871147283</v>
      </c>
    </row>
    <row r="211" spans="2:8" x14ac:dyDescent="0.2">
      <c r="B211" s="19">
        <v>6000</v>
      </c>
      <c r="C211">
        <v>10000</v>
      </c>
      <c r="D211" s="19">
        <v>6</v>
      </c>
      <c r="E211">
        <v>5</v>
      </c>
      <c r="F211" s="37">
        <v>1553.3188642754565</v>
      </c>
      <c r="G211">
        <f t="shared" si="6"/>
        <v>1837.9716321873943</v>
      </c>
      <c r="H211" s="34">
        <f t="shared" si="7"/>
        <v>-18.325456186660926</v>
      </c>
    </row>
    <row r="212" spans="2:8" x14ac:dyDescent="0.2">
      <c r="B212" s="19">
        <v>8000</v>
      </c>
      <c r="C212">
        <v>10000</v>
      </c>
      <c r="D212" s="19">
        <v>6</v>
      </c>
      <c r="E212">
        <v>5</v>
      </c>
      <c r="F212" s="37">
        <v>1255.760837276862</v>
      </c>
      <c r="G212">
        <f t="shared" si="6"/>
        <v>1620.5888313109863</v>
      </c>
      <c r="H212" s="34">
        <f t="shared" si="7"/>
        <v>-29.052346848565502</v>
      </c>
    </row>
    <row r="213" spans="2:8" x14ac:dyDescent="0.2">
      <c r="B213" s="19">
        <v>4000</v>
      </c>
      <c r="C213">
        <v>6000</v>
      </c>
      <c r="D213" s="19">
        <v>6</v>
      </c>
      <c r="E213">
        <v>10</v>
      </c>
      <c r="F213" s="37">
        <v>1666.0289102451643</v>
      </c>
      <c r="G213">
        <f t="shared" si="6"/>
        <v>1702.4570677632785</v>
      </c>
      <c r="H213" s="34">
        <f t="shared" si="7"/>
        <v>-2.1865261337363942</v>
      </c>
    </row>
    <row r="214" spans="2:8" x14ac:dyDescent="0.2">
      <c r="B214" s="19">
        <v>6000</v>
      </c>
      <c r="C214">
        <v>6000</v>
      </c>
      <c r="D214" s="19">
        <v>6</v>
      </c>
      <c r="E214">
        <v>10</v>
      </c>
      <c r="F214" s="37">
        <v>1203.0938261981994</v>
      </c>
      <c r="G214">
        <f t="shared" si="6"/>
        <v>1485.0742668868709</v>
      </c>
      <c r="H214" s="34">
        <f t="shared" si="7"/>
        <v>-23.437942623289434</v>
      </c>
    </row>
    <row r="215" spans="2:8" x14ac:dyDescent="0.2">
      <c r="B215" s="19">
        <v>8000</v>
      </c>
      <c r="C215">
        <v>6000</v>
      </c>
      <c r="D215" s="19">
        <v>6</v>
      </c>
      <c r="E215">
        <v>10</v>
      </c>
      <c r="F215" s="37">
        <v>925.77508115126409</v>
      </c>
      <c r="G215">
        <f t="shared" si="6"/>
        <v>1267.6914660104624</v>
      </c>
      <c r="H215" s="34">
        <f t="shared" si="7"/>
        <v>-36.932986404646158</v>
      </c>
    </row>
    <row r="216" spans="2:8" x14ac:dyDescent="0.2">
      <c r="B216" s="19">
        <v>4000</v>
      </c>
      <c r="C216">
        <v>8000</v>
      </c>
      <c r="D216" s="19">
        <v>6</v>
      </c>
      <c r="E216">
        <v>10</v>
      </c>
      <c r="F216" s="37">
        <v>1402.8380439219056</v>
      </c>
      <c r="G216">
        <f t="shared" si="6"/>
        <v>1585.864768805953</v>
      </c>
      <c r="H216" s="34">
        <f t="shared" si="7"/>
        <v>-13.046889174202935</v>
      </c>
    </row>
    <row r="217" spans="2:8" x14ac:dyDescent="0.2">
      <c r="B217" s="19">
        <v>6000</v>
      </c>
      <c r="C217">
        <v>8000</v>
      </c>
      <c r="D217" s="19">
        <v>6</v>
      </c>
      <c r="E217">
        <v>10</v>
      </c>
      <c r="F217" s="37">
        <v>1022.5449936125111</v>
      </c>
      <c r="G217">
        <f t="shared" si="6"/>
        <v>1368.4819679295454</v>
      </c>
      <c r="H217" s="34">
        <f t="shared" si="7"/>
        <v>-33.83097824330315</v>
      </c>
    </row>
    <row r="218" spans="2:8" x14ac:dyDescent="0.2">
      <c r="B218" s="19">
        <v>8000</v>
      </c>
      <c r="C218">
        <v>8000</v>
      </c>
      <c r="D218" s="19">
        <v>6</v>
      </c>
      <c r="E218">
        <v>10</v>
      </c>
      <c r="F218" s="37">
        <v>780.86309102498035</v>
      </c>
      <c r="G218">
        <f t="shared" si="6"/>
        <v>1151.0991670531373</v>
      </c>
      <c r="H218" s="34">
        <f t="shared" si="7"/>
        <v>-47.413699057305401</v>
      </c>
    </row>
    <row r="219" spans="2:8" x14ac:dyDescent="0.2">
      <c r="B219" s="19">
        <v>4000</v>
      </c>
      <c r="C219">
        <v>10000</v>
      </c>
      <c r="D219" s="19">
        <v>6</v>
      </c>
      <c r="E219">
        <v>10</v>
      </c>
      <c r="F219" s="37">
        <v>1178.4519207619082</v>
      </c>
      <c r="G219">
        <f t="shared" si="6"/>
        <v>1469.2724698486275</v>
      </c>
      <c r="H219" s="34">
        <f t="shared" si="7"/>
        <v>-24.678185334764787</v>
      </c>
    </row>
    <row r="220" spans="2:8" x14ac:dyDescent="0.2">
      <c r="B220" s="19">
        <v>6000</v>
      </c>
      <c r="C220">
        <v>10000</v>
      </c>
      <c r="D220" s="19">
        <v>6</v>
      </c>
      <c r="E220">
        <v>10</v>
      </c>
      <c r="F220" s="37">
        <v>877.03227472086871</v>
      </c>
      <c r="G220">
        <f t="shared" si="6"/>
        <v>1251.8896689722199</v>
      </c>
      <c r="H220" s="34">
        <f t="shared" si="7"/>
        <v>-42.741573492338837</v>
      </c>
    </row>
    <row r="221" spans="2:8" x14ac:dyDescent="0.2">
      <c r="B221" s="19">
        <v>8000</v>
      </c>
      <c r="C221">
        <v>10000</v>
      </c>
      <c r="D221" s="19">
        <v>6</v>
      </c>
      <c r="E221">
        <v>10</v>
      </c>
      <c r="F221" s="37">
        <v>664.73752239126077</v>
      </c>
      <c r="G221">
        <f t="shared" si="6"/>
        <v>1034.5068680958118</v>
      </c>
      <c r="H221" s="34">
        <f t="shared" si="7"/>
        <v>-55.626368792057882</v>
      </c>
    </row>
    <row r="222" spans="2:8" x14ac:dyDescent="0.2">
      <c r="F222" s="19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7</vt:i4>
      </vt:variant>
      <vt:variant>
        <vt:lpstr>Diagrammer</vt:lpstr>
      </vt:variant>
      <vt:variant>
        <vt:i4>2</vt:i4>
      </vt:variant>
    </vt:vector>
  </HeadingPairs>
  <TitlesOfParts>
    <vt:vector size="9" baseType="lpstr">
      <vt:lpstr>Inddata</vt:lpstr>
      <vt:lpstr>Året</vt:lpstr>
      <vt:lpstr>Året_elsalg_elv</vt:lpstr>
      <vt:lpstr>Beregn_elkøb_elv</vt:lpstr>
      <vt:lpstr>Året_elkøb_elv_2</vt:lpstr>
      <vt:lpstr>Beregn_elsalg</vt:lpstr>
      <vt:lpstr>Beregn_2</vt:lpstr>
      <vt:lpstr>Diagram1</vt:lpstr>
      <vt:lpstr>Diagram2</vt:lpstr>
    </vt:vector>
  </TitlesOfParts>
  <Company>Teknologisk Institut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Claus Martin Hvenegaard</dc:creator>
  <cp:lastModifiedBy>Claus Martin Hvenegaard</cp:lastModifiedBy>
  <dcterms:created xsi:type="dcterms:W3CDTF">2015-09-28T08:25:30Z</dcterms:created>
  <dcterms:modified xsi:type="dcterms:W3CDTF">2016-07-20T05:34:48Z</dcterms:modified>
</cp:coreProperties>
</file>