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Y:\Projects\P2003265_Optimering af vaskekoblede batterier\Fagligt\Afrapportering\"/>
    </mc:Choice>
  </mc:AlternateContent>
  <bookViews>
    <workbookView xWindow="360" yWindow="30" windowWidth="14730" windowHeight="7260" tabRatio="602"/>
  </bookViews>
  <sheets>
    <sheet name="Performancetest" sheetId="1" r:id="rId1"/>
    <sheet name="Datablad" sheetId="4" r:id="rId2"/>
    <sheet name="Ark1" sheetId="5" r:id="rId3"/>
  </sheets>
  <functionGroups builtInGroupCount="18"/>
  <definedNames>
    <definedName name="_xlnm.Print_Area" localSheetId="1">Datablad!$C$1:$N$35</definedName>
    <definedName name="_xlnm.Print_Area" localSheetId="0">Performancetest!$B$1:$M$35</definedName>
    <definedName name="solver_adj" localSheetId="2" hidden="1">'Ark1'!$E$16</definedName>
    <definedName name="solver_adj" localSheetId="1" hidden="1">Datablad!$K$21</definedName>
    <definedName name="solver_adj" localSheetId="0" hidden="1">Performancetest!$J$17</definedName>
    <definedName name="solver_cvg" localSheetId="2" hidden="1">0.0001</definedName>
    <definedName name="solver_cvg" localSheetId="1" hidden="1">0.0001</definedName>
    <definedName name="solver_cvg" localSheetId="0" hidden="1">0.0001</definedName>
    <definedName name="solver_drv" localSheetId="2" hidden="1">1</definedName>
    <definedName name="solver_drv" localSheetId="1" hidden="1">1</definedName>
    <definedName name="solver_drv" localSheetId="0" hidden="1">1</definedName>
    <definedName name="solver_eng" localSheetId="2" hidden="1">1</definedName>
    <definedName name="solver_eng" localSheetId="1" hidden="1">1</definedName>
    <definedName name="solver_eng" localSheetId="0" hidden="1">1</definedName>
    <definedName name="solver_est" localSheetId="2" hidden="1">1</definedName>
    <definedName name="solver_est" localSheetId="1" hidden="1">1</definedName>
    <definedName name="solver_est" localSheetId="0" hidden="1">1</definedName>
    <definedName name="solver_itr" localSheetId="2" hidden="1">2147483647</definedName>
    <definedName name="solver_itr" localSheetId="1" hidden="1">2147483647</definedName>
    <definedName name="solver_itr" localSheetId="0" hidden="1">2147483647</definedName>
    <definedName name="solver_mip" localSheetId="2" hidden="1">2147483647</definedName>
    <definedName name="solver_mip" localSheetId="1" hidden="1">2147483647</definedName>
    <definedName name="solver_mip" localSheetId="0" hidden="1">2147483647</definedName>
    <definedName name="solver_mni" localSheetId="2" hidden="1">30</definedName>
    <definedName name="solver_mni" localSheetId="1" hidden="1">30</definedName>
    <definedName name="solver_mni" localSheetId="0" hidden="1">30</definedName>
    <definedName name="solver_mrt" localSheetId="2" hidden="1">0.075</definedName>
    <definedName name="solver_mrt" localSheetId="1" hidden="1">0.075</definedName>
    <definedName name="solver_mrt" localSheetId="0" hidden="1">0.075</definedName>
    <definedName name="solver_msl" localSheetId="2" hidden="1">2</definedName>
    <definedName name="solver_msl" localSheetId="1" hidden="1">2</definedName>
    <definedName name="solver_msl" localSheetId="0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od" localSheetId="0" hidden="1">2147483647</definedName>
    <definedName name="solver_num" localSheetId="2" hidden="1">0</definedName>
    <definedName name="solver_num" localSheetId="1" hidden="1">0</definedName>
    <definedName name="solver_num" localSheetId="0" hidden="1">0</definedName>
    <definedName name="solver_nwt" localSheetId="2" hidden="1">1</definedName>
    <definedName name="solver_nwt" localSheetId="1" hidden="1">1</definedName>
    <definedName name="solver_nwt" localSheetId="0" hidden="1">1</definedName>
    <definedName name="solver_opt" localSheetId="2" hidden="1">'Ark1'!$E$18</definedName>
    <definedName name="solver_opt" localSheetId="1" hidden="1">Datablad!$K$14</definedName>
    <definedName name="solver_opt" localSheetId="0" hidden="1">Performancetest!$I$14</definedName>
    <definedName name="solver_pre" localSheetId="2" hidden="1">0.000001</definedName>
    <definedName name="solver_pre" localSheetId="1" hidden="1">0.000001</definedName>
    <definedName name="solver_pre" localSheetId="0" hidden="1">0.000001</definedName>
    <definedName name="solver_rbv" localSheetId="2" hidden="1">1</definedName>
    <definedName name="solver_rbv" localSheetId="1" hidden="1">1</definedName>
    <definedName name="solver_rbv" localSheetId="0" hidden="1">1</definedName>
    <definedName name="solver_rlx" localSheetId="2" hidden="1">2</definedName>
    <definedName name="solver_rlx" localSheetId="1" hidden="1">2</definedName>
    <definedName name="solver_rlx" localSheetId="0" hidden="1">2</definedName>
    <definedName name="solver_rsd" localSheetId="2" hidden="1">0</definedName>
    <definedName name="solver_rsd" localSheetId="1" hidden="1">0</definedName>
    <definedName name="solver_rsd" localSheetId="0" hidden="1">0</definedName>
    <definedName name="solver_scl" localSheetId="2" hidden="1">1</definedName>
    <definedName name="solver_scl" localSheetId="1" hidden="1">1</definedName>
    <definedName name="solver_scl" localSheetId="0" hidden="1">1</definedName>
    <definedName name="solver_sho" localSheetId="2" hidden="1">2</definedName>
    <definedName name="solver_sho" localSheetId="1" hidden="1">2</definedName>
    <definedName name="solver_sho" localSheetId="0" hidden="1">2</definedName>
    <definedName name="solver_ssz" localSheetId="2" hidden="1">100</definedName>
    <definedName name="solver_ssz" localSheetId="1" hidden="1">100</definedName>
    <definedName name="solver_ssz" localSheetId="0" hidden="1">100</definedName>
    <definedName name="solver_tim" localSheetId="2" hidden="1">2147483647</definedName>
    <definedName name="solver_tim" localSheetId="1" hidden="1">2147483647</definedName>
    <definedName name="solver_tim" localSheetId="0" hidden="1">2147483647</definedName>
    <definedName name="solver_tol" localSheetId="2" hidden="1">0.01</definedName>
    <definedName name="solver_tol" localSheetId="1" hidden="1">0.01</definedName>
    <definedName name="solver_tol" localSheetId="0" hidden="1">0.01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H18" i="5" l="1"/>
  <c r="D8" i="4" l="1"/>
  <c r="D38" i="4"/>
  <c r="D41" i="4"/>
  <c r="E32" i="5" l="1"/>
  <c r="F32" i="5"/>
  <c r="E25" i="5"/>
  <c r="F25" i="5" s="1"/>
  <c r="E26" i="5"/>
  <c r="F26" i="5"/>
  <c r="E27" i="5"/>
  <c r="F27" i="5" s="1"/>
  <c r="E28" i="5"/>
  <c r="F28" i="5"/>
  <c r="E29" i="5"/>
  <c r="F29" i="5" s="1"/>
  <c r="E30" i="5"/>
  <c r="F30" i="5"/>
  <c r="E31" i="5"/>
  <c r="F31" i="5" s="1"/>
  <c r="E24" i="5"/>
  <c r="F24" i="5"/>
  <c r="E23" i="5"/>
  <c r="F23" i="5" s="1"/>
  <c r="E22" i="5"/>
  <c r="F22" i="5" s="1"/>
  <c r="I22" i="5"/>
  <c r="C52" i="1"/>
  <c r="F30" i="4" l="1"/>
  <c r="D30" i="4"/>
  <c r="G18" i="5" l="1"/>
  <c r="I18" i="5"/>
  <c r="J18" i="5"/>
  <c r="K18" i="5"/>
  <c r="L18" i="5"/>
  <c r="M18" i="5"/>
  <c r="F18" i="5"/>
  <c r="C13" i="5"/>
  <c r="C12" i="5"/>
  <c r="E18" i="5"/>
  <c r="AA7" i="4" l="1"/>
  <c r="Z5" i="4"/>
  <c r="C50" i="1" l="1"/>
  <c r="B48" i="1"/>
  <c r="E6" i="1"/>
  <c r="E8" i="1"/>
  <c r="E5" i="1" s="1"/>
  <c r="C8" i="1"/>
  <c r="C5" i="1" s="1"/>
  <c r="D9" i="4"/>
  <c r="D6" i="4" s="1"/>
  <c r="F12" i="4"/>
  <c r="D12" i="4"/>
  <c r="F11" i="4"/>
  <c r="F9" i="4"/>
  <c r="F6" i="4" s="1"/>
  <c r="D10" i="4"/>
  <c r="C9" i="1" s="1"/>
  <c r="F10" i="4"/>
  <c r="E9" i="1" s="1"/>
  <c r="F8" i="4"/>
  <c r="F7" i="4"/>
  <c r="F14" i="4" l="1"/>
  <c r="D14" i="4"/>
  <c r="D15" i="4" s="1"/>
  <c r="B3" i="4"/>
  <c r="A3" i="1"/>
  <c r="F15" i="4" l="1"/>
  <c r="F38" i="4" s="1"/>
  <c r="F13" i="4"/>
  <c r="D13" i="4"/>
  <c r="F18" i="4" l="1"/>
  <c r="F16" i="4"/>
  <c r="F39" i="4" s="1"/>
  <c r="D18" i="4"/>
  <c r="C13" i="1"/>
  <c r="C14" i="1" s="1"/>
  <c r="E13" i="1"/>
  <c r="E14" i="1" s="1"/>
  <c r="F19" i="4" l="1"/>
  <c r="F17" i="4"/>
  <c r="E29" i="4"/>
  <c r="K15" i="4" s="1"/>
  <c r="D16" i="4"/>
  <c r="D39" i="4" s="1"/>
  <c r="E15" i="1"/>
  <c r="F21" i="4"/>
  <c r="F22" i="4" l="1"/>
  <c r="D17" i="4"/>
  <c r="D19" i="4"/>
  <c r="E11" i="1"/>
  <c r="J11" i="1" s="1"/>
  <c r="E7" i="1"/>
  <c r="C15" i="1"/>
  <c r="D28" i="1"/>
  <c r="D21" i="4"/>
  <c r="D22" i="4" l="1"/>
  <c r="F24" i="4" s="1"/>
  <c r="F26" i="4" s="1"/>
  <c r="I11" i="4" s="1"/>
  <c r="E19" i="4"/>
  <c r="C7" i="1"/>
  <c r="C17" i="1" s="1"/>
  <c r="C11" i="1"/>
  <c r="J8" i="1" s="1"/>
  <c r="E16" i="1"/>
  <c r="E17" i="1"/>
  <c r="C18" i="1"/>
  <c r="Z7" i="4" l="1"/>
  <c r="F31" i="4"/>
  <c r="F32" i="4" s="1"/>
  <c r="D25" i="4"/>
  <c r="F28" i="4"/>
  <c r="K14" i="4"/>
  <c r="F23" i="4"/>
  <c r="E18" i="1"/>
  <c r="E20" i="1"/>
  <c r="D27" i="4" l="1"/>
  <c r="D28" i="4" s="1"/>
  <c r="C16" i="1"/>
  <c r="E21" i="1"/>
  <c r="C20" i="1"/>
  <c r="M6" i="4" l="1"/>
  <c r="D23" i="4"/>
  <c r="L9" i="4"/>
  <c r="C21" i="1"/>
  <c r="D42" i="4"/>
  <c r="AA5" i="4" l="1"/>
  <c r="D31" i="4"/>
  <c r="D32" i="4" s="1"/>
  <c r="D43" i="4"/>
  <c r="J9" i="4"/>
  <c r="Z6" i="4" s="1"/>
  <c r="AA6" i="4"/>
  <c r="E23" i="1"/>
  <c r="I14" i="1" s="1"/>
  <c r="D44" i="4" l="1"/>
  <c r="D45" i="4" s="1"/>
  <c r="D46" i="4" s="1"/>
  <c r="C24" i="1"/>
  <c r="E25" i="1"/>
  <c r="C26" i="1" l="1"/>
  <c r="L6" i="1" s="1"/>
  <c r="E27" i="1"/>
  <c r="H11" i="1"/>
  <c r="E22" i="1"/>
  <c r="C31" i="1" l="1"/>
  <c r="C32" i="1" s="1"/>
  <c r="B50" i="1"/>
  <c r="E31" i="1"/>
  <c r="C27" i="1"/>
  <c r="C22" i="1"/>
  <c r="C48" i="1"/>
  <c r="D11" i="4"/>
  <c r="C10" i="1" l="1"/>
  <c r="J6" i="1" s="1"/>
  <c r="K9" i="1"/>
  <c r="E32" i="1"/>
  <c r="E10" i="1"/>
  <c r="J13" i="1" s="1"/>
  <c r="C53" i="1"/>
  <c r="D29" i="1" l="1"/>
  <c r="G15" i="1"/>
  <c r="C49" i="1"/>
  <c r="I9" i="1"/>
  <c r="D30" i="1" s="1"/>
  <c r="C54" i="1"/>
  <c r="C55" i="1" s="1"/>
  <c r="C56" i="1" l="1"/>
  <c r="B49" i="1"/>
</calcChain>
</file>

<file path=xl/sharedStrings.xml><?xml version="1.0" encoding="utf-8"?>
<sst xmlns="http://schemas.openxmlformats.org/spreadsheetml/2006/main" count="164" uniqueCount="101">
  <si>
    <t>Function tempvirkgrad(NV, ZV, slag) (væskesiden)</t>
  </si>
  <si>
    <t>j</t>
  </si>
  <si>
    <t>Indblæsning</t>
  </si>
  <si>
    <t>Pa</t>
  </si>
  <si>
    <t>kPa</t>
  </si>
  <si>
    <r>
      <rPr>
        <sz val="11"/>
        <color theme="1"/>
        <rFont val="Calibri"/>
        <family val="2"/>
      </rPr>
      <t>°</t>
    </r>
    <r>
      <rPr>
        <sz val="13"/>
        <color theme="1"/>
        <rFont val="Calibri"/>
        <family val="2"/>
      </rPr>
      <t>C</t>
    </r>
  </si>
  <si>
    <r>
      <t>°</t>
    </r>
    <r>
      <rPr>
        <sz val="13"/>
        <rFont val="Calibri"/>
        <family val="2"/>
      </rPr>
      <t>C</t>
    </r>
  </si>
  <si>
    <t>°C</t>
  </si>
  <si>
    <t>Afkast</t>
  </si>
  <si>
    <t>Varm</t>
  </si>
  <si>
    <t>Kold</t>
  </si>
  <si>
    <t>kold</t>
  </si>
  <si>
    <t>varm</t>
  </si>
  <si>
    <t>eps-KM</t>
  </si>
  <si>
    <t>eps-VM</t>
  </si>
  <si>
    <t>CK</t>
  </si>
  <si>
    <t>CV</t>
  </si>
  <si>
    <t>Cm</t>
  </si>
  <si>
    <t>EPSK</t>
  </si>
  <si>
    <t>Max</t>
  </si>
  <si>
    <t>kg/sek</t>
  </si>
  <si>
    <t>kg/s ref</t>
  </si>
  <si>
    <t>T</t>
  </si>
  <si>
    <t>mmHG</t>
  </si>
  <si>
    <t>mBar</t>
  </si>
  <si>
    <t xml:space="preserve"> </t>
  </si>
  <si>
    <t>Rh.</t>
  </si>
  <si>
    <t>Xind</t>
  </si>
  <si>
    <t>Xmin</t>
  </si>
  <si>
    <t>Kondens</t>
  </si>
  <si>
    <t>Tillæg Cp</t>
  </si>
  <si>
    <t>Ford.varme J/kgtør</t>
  </si>
  <si>
    <t>Formel cp</t>
  </si>
  <si>
    <t xml:space="preserve">Varmefylde eff. </t>
  </si>
  <si>
    <t>Formel varmefylde afkast kJ/kgK</t>
  </si>
  <si>
    <t>beregnet Fi min = 0,9</t>
  </si>
  <si>
    <t>Middel temp K</t>
  </si>
  <si>
    <t>ro</t>
  </si>
  <si>
    <t>middel T K</t>
  </si>
  <si>
    <t>Ro</t>
  </si>
  <si>
    <t>Driftskonditioner jf. datablad</t>
  </si>
  <si>
    <r>
      <t>T</t>
    </r>
    <r>
      <rPr>
        <vertAlign val="subscript"/>
        <sz val="11"/>
        <rFont val="Calibri"/>
        <family val="2"/>
        <scheme val="minor"/>
      </rPr>
      <t>afkast,ind</t>
    </r>
    <r>
      <rPr>
        <sz val="11"/>
        <rFont val="Calibri"/>
        <family val="2"/>
        <scheme val="minor"/>
      </rPr>
      <t xml:space="preserve"> [</t>
    </r>
    <r>
      <rPr>
        <sz val="11"/>
        <rFont val="Symbol"/>
        <family val="1"/>
        <charset val="2"/>
      </rPr>
      <t>°</t>
    </r>
    <r>
      <rPr>
        <sz val="10.55"/>
        <rFont val="Calibri"/>
        <family val="2"/>
      </rPr>
      <t>C]</t>
    </r>
  </si>
  <si>
    <r>
      <t>T</t>
    </r>
    <r>
      <rPr>
        <vertAlign val="subscript"/>
        <sz val="11"/>
        <color theme="1"/>
        <rFont val="Calibri"/>
        <family val="2"/>
        <scheme val="minor"/>
      </rPr>
      <t>afkast,ud</t>
    </r>
    <r>
      <rPr>
        <sz val="11"/>
        <color theme="1"/>
        <rFont val="Calibri"/>
        <family val="2"/>
        <scheme val="minor"/>
      </rPr>
      <t xml:space="preserve"> [°C]</t>
    </r>
  </si>
  <si>
    <r>
      <t>T</t>
    </r>
    <r>
      <rPr>
        <vertAlign val="subscript"/>
        <sz val="11"/>
        <rFont val="Calibri"/>
        <family val="2"/>
        <scheme val="minor"/>
      </rPr>
      <t>indblæsning,ind</t>
    </r>
    <r>
      <rPr>
        <sz val="11"/>
        <rFont val="Calibri"/>
        <family val="2"/>
        <scheme val="minor"/>
      </rPr>
      <t xml:space="preserve"> [°C]</t>
    </r>
  </si>
  <si>
    <r>
      <t>T</t>
    </r>
    <r>
      <rPr>
        <vertAlign val="subscript"/>
        <sz val="11"/>
        <color theme="1"/>
        <rFont val="Calibri"/>
        <family val="2"/>
        <scheme val="minor"/>
      </rPr>
      <t>indblæsning,ud</t>
    </r>
    <r>
      <rPr>
        <sz val="11"/>
        <color theme="1"/>
        <rFont val="Calibri"/>
        <family val="2"/>
        <scheme val="minor"/>
      </rPr>
      <t xml:space="preserve"> [°C]</t>
    </r>
  </si>
  <si>
    <t>vekslere i serie</t>
  </si>
  <si>
    <t>vekslere i parallel</t>
  </si>
  <si>
    <r>
      <t>Luftmængde 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/h]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</si>
  <si>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mellemkreds</t>
    </r>
    <r>
      <rPr>
        <b/>
        <sz val="11"/>
        <color theme="1"/>
        <rFont val="Calibri"/>
        <family val="2"/>
        <scheme val="minor"/>
      </rPr>
      <t xml:space="preserve"> /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indblæsning</t>
    </r>
  </si>
  <si>
    <t>UA [W/K]</t>
  </si>
  <si>
    <r>
      <t>Lufttemperatur</t>
    </r>
    <r>
      <rPr>
        <b/>
        <vertAlign val="subscript"/>
        <sz val="11"/>
        <color theme="1"/>
        <rFont val="Calibri"/>
        <family val="2"/>
        <scheme val="minor"/>
      </rPr>
      <t>ind</t>
    </r>
    <r>
      <rPr>
        <b/>
        <sz val="11"/>
        <color theme="1"/>
        <rFont val="Calibri"/>
        <family val="2"/>
        <scheme val="minor"/>
      </rPr>
      <t xml:space="preserve"> [</t>
    </r>
    <r>
      <rPr>
        <b/>
        <sz val="11"/>
        <color theme="1"/>
        <rFont val="Symbol"/>
        <family val="1"/>
        <charset val="2"/>
      </rPr>
      <t>°</t>
    </r>
    <r>
      <rPr>
        <b/>
        <sz val="10.55"/>
        <color theme="1"/>
        <rFont val="Calibri"/>
        <family val="2"/>
      </rPr>
      <t>C]</t>
    </r>
  </si>
  <si>
    <t>Antal slag [-]</t>
  </si>
  <si>
    <r>
      <t>Tryktab</t>
    </r>
    <r>
      <rPr>
        <b/>
        <vertAlign val="subscript"/>
        <sz val="11"/>
        <color theme="1"/>
        <rFont val="Calibri"/>
        <family val="2"/>
        <scheme val="minor"/>
      </rPr>
      <t>luftside</t>
    </r>
    <r>
      <rPr>
        <b/>
        <sz val="11"/>
        <color theme="1"/>
        <rFont val="Calibri"/>
        <family val="2"/>
        <scheme val="minor"/>
      </rPr>
      <t xml:space="preserve"> [Pa]</t>
    </r>
  </si>
  <si>
    <r>
      <t>Tryktab</t>
    </r>
    <r>
      <rPr>
        <b/>
        <vertAlign val="subscript"/>
        <sz val="11"/>
        <color theme="1"/>
        <rFont val="Calibri"/>
        <family val="2"/>
        <scheme val="minor"/>
      </rPr>
      <t>væskeside</t>
    </r>
    <r>
      <rPr>
        <b/>
        <sz val="11"/>
        <color theme="1"/>
        <rFont val="Calibri"/>
        <family val="2"/>
        <scheme val="minor"/>
      </rPr>
      <t xml:space="preserve"> [kPa]</t>
    </r>
  </si>
  <si>
    <r>
      <t>Densitet [kg/m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</si>
  <si>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luft</t>
    </r>
    <r>
      <rPr>
        <b/>
        <sz val="11"/>
        <color theme="1"/>
        <rFont val="Calibri"/>
        <family val="2"/>
        <scheme val="minor"/>
      </rPr>
      <t xml:space="preserve"> [W/K]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</si>
  <si>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væske</t>
    </r>
    <r>
      <rPr>
        <b/>
        <sz val="11"/>
        <color theme="1"/>
        <rFont val="Calibri"/>
        <family val="2"/>
        <scheme val="minor"/>
      </rPr>
      <t xml:space="preserve"> [W/K]</t>
    </r>
  </si>
  <si>
    <r>
      <t>NTU</t>
    </r>
    <r>
      <rPr>
        <b/>
        <vertAlign val="subscript"/>
        <sz val="11"/>
        <color theme="1"/>
        <rFont val="Calibri"/>
        <family val="2"/>
        <scheme val="minor"/>
      </rPr>
      <t>væske</t>
    </r>
    <r>
      <rPr>
        <b/>
        <sz val="11"/>
        <color theme="1"/>
        <rFont val="Calibri"/>
        <family val="2"/>
        <scheme val="minor"/>
      </rPr>
      <t xml:space="preserve"> [-]</t>
    </r>
  </si>
  <si>
    <r>
      <t>NTU</t>
    </r>
    <r>
      <rPr>
        <b/>
        <vertAlign val="subscript"/>
        <sz val="11"/>
        <color theme="1"/>
        <rFont val="Calibri"/>
        <family val="2"/>
        <scheme val="minor"/>
      </rPr>
      <t>luft</t>
    </r>
    <r>
      <rPr>
        <b/>
        <sz val="11"/>
        <color theme="1"/>
        <rFont val="Calibri"/>
        <family val="2"/>
        <scheme val="minor"/>
      </rPr>
      <t xml:space="preserve"> [-]</t>
    </r>
  </si>
  <si>
    <r>
      <t>Z</t>
    </r>
    <r>
      <rPr>
        <b/>
        <vertAlign val="subscript"/>
        <sz val="11"/>
        <color theme="1"/>
        <rFont val="Calibri"/>
        <family val="2"/>
        <scheme val="minor"/>
      </rPr>
      <t>væske</t>
    </r>
    <r>
      <rPr>
        <b/>
        <sz val="11"/>
        <color theme="1"/>
        <rFont val="Calibri"/>
        <family val="2"/>
        <scheme val="minor"/>
      </rPr>
      <t xml:space="preserve"> = C</t>
    </r>
    <r>
      <rPr>
        <b/>
        <vertAlign val="subscript"/>
        <sz val="11"/>
        <color theme="1"/>
        <rFont val="Calibri"/>
        <family val="2"/>
        <scheme val="minor"/>
      </rPr>
      <t>væske</t>
    </r>
    <r>
      <rPr>
        <b/>
        <sz val="11"/>
        <color theme="1"/>
        <rFont val="Calibri"/>
        <family val="2"/>
        <scheme val="minor"/>
      </rPr>
      <t>/C</t>
    </r>
    <r>
      <rPr>
        <b/>
        <vertAlign val="subscript"/>
        <sz val="11"/>
        <color theme="1"/>
        <rFont val="Calibri"/>
        <family val="2"/>
        <scheme val="minor"/>
      </rPr>
      <t>luft</t>
    </r>
  </si>
  <si>
    <t>Vejledning</t>
  </si>
  <si>
    <t>1.</t>
  </si>
  <si>
    <t>2.</t>
  </si>
  <si>
    <t>3.</t>
  </si>
  <si>
    <t>Performancetest</t>
  </si>
  <si>
    <t>Effektivitet af varmeflader</t>
  </si>
  <si>
    <r>
      <t>Sammenlig de faktisk målte T</t>
    </r>
    <r>
      <rPr>
        <vertAlign val="subscript"/>
        <sz val="11"/>
        <color theme="1"/>
        <rFont val="Calibri"/>
        <family val="2"/>
        <scheme val="minor"/>
      </rPr>
      <t>afkast,ud</t>
    </r>
    <r>
      <rPr>
        <sz val="11"/>
        <color theme="1"/>
        <rFont val="Calibri"/>
        <family val="2"/>
        <scheme val="minor"/>
      </rPr>
      <t xml:space="preserve"> og T</t>
    </r>
    <r>
      <rPr>
        <vertAlign val="subscript"/>
        <sz val="11"/>
        <color theme="1"/>
        <rFont val="Calibri"/>
        <family val="2"/>
        <scheme val="minor"/>
      </rPr>
      <t>indblæsning,ind</t>
    </r>
    <r>
      <rPr>
        <sz val="11"/>
        <color theme="1"/>
        <rFont val="Calibri"/>
        <family val="2"/>
        <scheme val="minor"/>
      </rPr>
      <t xml:space="preserve"> med de værdier der er i diagrammet. Hvis den faktisk målte T</t>
    </r>
    <r>
      <rPr>
        <vertAlign val="subscript"/>
        <sz val="11"/>
        <color theme="1"/>
        <rFont val="Calibri"/>
        <family val="2"/>
        <scheme val="minor"/>
      </rPr>
      <t>afkast,ud</t>
    </r>
    <r>
      <rPr>
        <sz val="11"/>
        <color theme="1"/>
        <rFont val="Calibri"/>
        <family val="2"/>
        <scheme val="minor"/>
      </rPr>
      <t xml:space="preserve"> er lavere end den beregnede værdi i diagrammet, og den faktisk målte T</t>
    </r>
    <r>
      <rPr>
        <vertAlign val="subscript"/>
        <sz val="11"/>
        <color theme="1"/>
        <rFont val="Calibri"/>
        <family val="2"/>
        <scheme val="minor"/>
      </rPr>
      <t>indblæsning,ud</t>
    </r>
    <r>
      <rPr>
        <sz val="11"/>
        <color theme="1"/>
        <rFont val="Calibri"/>
        <family val="2"/>
        <scheme val="minor"/>
      </rPr>
      <t xml:space="preserve"> er højere end den beregnede værdi i diagrammet er effektiviteten højere end anført på databladet. Hvis det forholder sig modsat er effektiviteten lavere end anført på databladet.</t>
    </r>
  </si>
  <si>
    <t>Tryktab på luft- og væskeside</t>
  </si>
  <si>
    <t>Sammenlig de faktisk målte tryktab over de to varmeflader på både luft- og væskesiden. Hvis de faktisk målte tryktab er lavere end de beregnede værdier i diagrammet har fladerne lavere tryktab end anført på databladet. Hvis det forholder sig modsat er tryktabene større end anført på databladet.</t>
  </si>
  <si>
    <r>
      <t>Effektivitet</t>
    </r>
    <r>
      <rPr>
        <b/>
        <vertAlign val="subscript"/>
        <sz val="11"/>
        <color theme="1"/>
        <rFont val="Calibri"/>
        <family val="2"/>
        <scheme val="minor"/>
      </rPr>
      <t>væskeside</t>
    </r>
    <r>
      <rPr>
        <b/>
        <sz val="11"/>
        <color theme="1"/>
        <rFont val="Calibri"/>
        <family val="2"/>
        <scheme val="minor"/>
      </rPr>
      <t xml:space="preserve"> [-]</t>
    </r>
  </si>
  <si>
    <r>
      <t>Effektivitet</t>
    </r>
    <r>
      <rPr>
        <b/>
        <vertAlign val="subscript"/>
        <sz val="11"/>
        <color theme="1"/>
        <rFont val="Calibri"/>
        <family val="2"/>
        <scheme val="minor"/>
      </rPr>
      <t>luftside</t>
    </r>
    <r>
      <rPr>
        <b/>
        <sz val="11"/>
        <color theme="1"/>
        <rFont val="Calibri"/>
        <family val="2"/>
        <scheme val="minor"/>
      </rPr>
      <t xml:space="preserve"> [-]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</si>
  <si>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 i strømningsretning [</t>
    </r>
    <r>
      <rPr>
        <b/>
        <sz val="11"/>
        <color theme="1"/>
        <rFont val="Symbol"/>
        <family val="1"/>
        <charset val="2"/>
      </rPr>
      <t>°</t>
    </r>
    <r>
      <rPr>
        <b/>
        <sz val="10.55"/>
        <color theme="1"/>
        <rFont val="Calibri"/>
        <family val="2"/>
      </rPr>
      <t>C]</t>
    </r>
  </si>
  <si>
    <t>Samlet effektivitet indblæsning [-]</t>
  </si>
  <si>
    <t>Samlet effektivitet udsugning [-]</t>
  </si>
  <si>
    <r>
      <t>T</t>
    </r>
    <r>
      <rPr>
        <b/>
        <vertAlign val="subscript"/>
        <sz val="11"/>
        <rFont val="Calibri"/>
        <family val="2"/>
        <scheme val="minor"/>
      </rPr>
      <t>indblæsning,ud</t>
    </r>
    <r>
      <rPr>
        <b/>
        <sz val="11"/>
        <rFont val="Calibri"/>
        <family val="2"/>
        <scheme val="minor"/>
      </rPr>
      <t xml:space="preserve"> [</t>
    </r>
    <r>
      <rPr>
        <b/>
        <sz val="11"/>
        <rFont val="Symbol"/>
        <family val="1"/>
        <charset val="2"/>
      </rPr>
      <t>°</t>
    </r>
    <r>
      <rPr>
        <b/>
        <sz val="10.55"/>
        <rFont val="Calibri"/>
        <family val="2"/>
      </rPr>
      <t>C]</t>
    </r>
  </si>
  <si>
    <r>
      <t>T</t>
    </r>
    <r>
      <rPr>
        <b/>
        <vertAlign val="subscript"/>
        <sz val="11"/>
        <rFont val="Calibri"/>
        <family val="2"/>
        <scheme val="minor"/>
      </rPr>
      <t>afkast,ud</t>
    </r>
    <r>
      <rPr>
        <b/>
        <sz val="11"/>
        <rFont val="Calibri"/>
        <family val="2"/>
        <scheme val="minor"/>
      </rPr>
      <t xml:space="preserve"> [</t>
    </r>
    <r>
      <rPr>
        <b/>
        <sz val="11"/>
        <rFont val="Symbol"/>
        <family val="1"/>
        <charset val="2"/>
      </rPr>
      <t>°</t>
    </r>
    <r>
      <rPr>
        <b/>
        <sz val="10.55"/>
        <rFont val="Calibri"/>
        <family val="2"/>
      </rPr>
      <t>C]</t>
    </r>
  </si>
  <si>
    <t>Ydelse [kW]</t>
  </si>
  <si>
    <r>
      <t>Flow i mellemkreds [m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/h]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</si>
  <si>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mellemkreds,lav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</si>
  <si>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mellemkreds,høj</t>
    </r>
  </si>
  <si>
    <t>Effektivitet Indblæsning [%]</t>
  </si>
  <si>
    <t>Hvis der er etableret supplerende vekslere i serie (efter hinanden i luftretningen) indtastes den forholdsmæssige størrelse ifht. 1</t>
  </si>
  <si>
    <t>Hvis der er etableret supplerende vekslere i parallel (ved siden af hinanden i luftretningen) indtastes den forholdsmæssige størrelse ifht. 1</t>
  </si>
  <si>
    <t>Driftskonditioner under performancetest</t>
  </si>
  <si>
    <t>Der skal indtastes værdier i felterne med røde tal</t>
  </si>
  <si>
    <t>Indtast antallet af slag for fladerne i tabellen</t>
  </si>
  <si>
    <t>4.</t>
  </si>
  <si>
    <t>Effektivitet indblæsning [%]</t>
  </si>
  <si>
    <r>
      <t>Omtrentligt flow i væskekreds 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/h]</t>
    </r>
  </si>
  <si>
    <t>Antal slag afkast [-]</t>
  </si>
  <si>
    <t>Antal slag indblæsning [-]</t>
  </si>
  <si>
    <r>
      <t xml:space="preserve">UA </t>
    </r>
    <r>
      <rPr>
        <vertAlign val="subscript"/>
        <sz val="11"/>
        <color theme="1"/>
        <rFont val="Calibri"/>
        <family val="2"/>
        <scheme val="minor"/>
      </rPr>
      <t>afkast</t>
    </r>
    <r>
      <rPr>
        <sz val="11"/>
        <color theme="1"/>
        <rFont val="Calibri"/>
        <family val="2"/>
        <scheme val="minor"/>
      </rPr>
      <t xml:space="preserve"> [W/K]</t>
    </r>
  </si>
  <si>
    <r>
      <t xml:space="preserve">UA </t>
    </r>
    <r>
      <rPr>
        <vertAlign val="subscript"/>
        <sz val="11"/>
        <color theme="1"/>
        <rFont val="Calibri"/>
        <family val="2"/>
        <scheme val="minor"/>
      </rPr>
      <t>indblæsning</t>
    </r>
    <r>
      <rPr>
        <sz val="11"/>
        <color theme="1"/>
        <rFont val="Calibri"/>
        <family val="2"/>
        <scheme val="minor"/>
      </rPr>
      <t xml:space="preserve"> [W/K]</t>
    </r>
  </si>
  <si>
    <r>
      <rPr>
        <sz val="11"/>
        <rFont val="Symbol"/>
        <family val="1"/>
        <charset val="2"/>
      </rPr>
      <t>D</t>
    </r>
    <r>
      <rPr>
        <sz val="10.55"/>
        <rFont val="Calibri"/>
        <family val="2"/>
      </rPr>
      <t>T</t>
    </r>
    <r>
      <rPr>
        <vertAlign val="subscript"/>
        <sz val="11"/>
        <rFont val="Calibri"/>
        <family val="2"/>
        <scheme val="minor"/>
      </rPr>
      <t>mellemkreds</t>
    </r>
    <r>
      <rPr>
        <sz val="11"/>
        <rFont val="Calibri"/>
        <family val="2"/>
        <scheme val="minor"/>
      </rPr>
      <t xml:space="preserve"> / </t>
    </r>
    <r>
      <rPr>
        <sz val="11"/>
        <rFont val="Symbol"/>
        <family val="1"/>
        <charset val="2"/>
      </rPr>
      <t>D</t>
    </r>
    <r>
      <rPr>
        <sz val="11"/>
        <rFont val="Calibri"/>
        <family val="2"/>
        <scheme val="minor"/>
      </rPr>
      <t>T</t>
    </r>
    <r>
      <rPr>
        <vertAlign val="subscript"/>
        <sz val="11"/>
        <rFont val="Calibri"/>
        <family val="2"/>
        <scheme val="minor"/>
      </rPr>
      <t>indblæsning</t>
    </r>
  </si>
  <si>
    <t>Fladedata</t>
  </si>
  <si>
    <r>
      <t xml:space="preserve">Indtast og tilpas værdierne for fladernes UA værdier, dvs. ydelse [W] /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</rPr>
      <t>T</t>
    </r>
    <r>
      <rPr>
        <vertAlign val="subscript"/>
        <sz val="11"/>
        <color theme="1"/>
        <rFont val="Calibri"/>
        <family val="2"/>
      </rPr>
      <t>luft</t>
    </r>
    <r>
      <rPr>
        <sz val="11"/>
        <color theme="1"/>
        <rFont val="Calibri"/>
        <family val="2"/>
      </rPr>
      <t xml:space="preserve"> [</t>
    </r>
    <r>
      <rPr>
        <sz val="11"/>
        <color theme="1"/>
        <rFont val="Symbol"/>
        <family val="1"/>
        <charset val="2"/>
      </rPr>
      <t>°</t>
    </r>
    <r>
      <rPr>
        <sz val="11"/>
        <color theme="1"/>
        <rFont val="Calibri"/>
        <family val="2"/>
      </rPr>
      <t>C]</t>
    </r>
    <r>
      <rPr>
        <sz val="11"/>
        <color theme="1"/>
        <rFont val="Calibri"/>
        <family val="2"/>
      </rPr>
      <t>. UA værdierne</t>
    </r>
    <r>
      <rPr>
        <sz val="11"/>
        <color theme="1"/>
        <rFont val="Calibri"/>
        <family val="2"/>
      </rPr>
      <t xml:space="preserve"> justeres indtil at temperatursættene for T</t>
    </r>
    <r>
      <rPr>
        <vertAlign val="subscript"/>
        <sz val="11"/>
        <color theme="1"/>
        <rFont val="Calibri"/>
        <family val="2"/>
      </rPr>
      <t>afkast,ind</t>
    </r>
    <r>
      <rPr>
        <sz val="11"/>
        <color theme="1"/>
        <rFont val="Calibri"/>
        <family val="2"/>
      </rPr>
      <t xml:space="preserve"> og T</t>
    </r>
    <r>
      <rPr>
        <vertAlign val="subscript"/>
        <sz val="11"/>
        <color theme="1"/>
        <rFont val="Calibri"/>
        <family val="2"/>
      </rPr>
      <t>afkast,ud</t>
    </r>
    <r>
      <rPr>
        <sz val="11"/>
        <color theme="1"/>
        <rFont val="Calibri"/>
        <family val="2"/>
      </rPr>
      <t xml:space="preserve"> samt T</t>
    </r>
    <r>
      <rPr>
        <vertAlign val="subscript"/>
        <sz val="11"/>
        <color theme="1"/>
        <rFont val="Calibri"/>
        <family val="2"/>
      </rPr>
      <t>indblæsning,ind</t>
    </r>
    <r>
      <rPr>
        <sz val="11"/>
        <color theme="1"/>
        <rFont val="Calibri"/>
        <family val="2"/>
      </rPr>
      <t xml:space="preserve"> og T</t>
    </r>
    <r>
      <rPr>
        <vertAlign val="subscript"/>
        <sz val="11"/>
        <color theme="1"/>
        <rFont val="Calibri"/>
        <family val="2"/>
      </rPr>
      <t>indblæsning,ud</t>
    </r>
    <r>
      <rPr>
        <sz val="11"/>
        <color theme="1"/>
        <rFont val="Calibri"/>
        <family val="2"/>
      </rPr>
      <t xml:space="preserve"> passer med databladet.</t>
    </r>
  </si>
  <si>
    <r>
      <t>Beregnet C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varm side [kJ/kgK]</t>
    </r>
  </si>
  <si>
    <r>
      <t>Nm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/h</t>
    </r>
  </si>
  <si>
    <r>
      <t>Der skal indtastes værdier i felterne med røde tal for luftflow (luftflow i 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/h) og temperaturer</t>
    </r>
  </si>
  <si>
    <r>
      <t>Indtast værdier for temperaturer og luftmængder (i Nm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/h) fra databladet i diagrammet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</si>
  <si>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T væske/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 luft kold side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</si>
</sst>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1"/>
      <name val="Calibri"/>
      <family val="2"/>
    </font>
    <font>
      <sz val="13"/>
      <name val="Calibri"/>
      <family val="2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0.55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Calibri"/>
      <family val="2"/>
      <scheme val="minor"/>
    </font>
    <font>
      <b/>
      <sz val="10.55"/>
      <color theme="1"/>
      <name val="Calibri"/>
      <family val="2"/>
    </font>
    <font>
      <sz val="11"/>
      <color theme="1"/>
      <name val="Symbol"/>
      <family val="1"/>
      <charset val="2"/>
    </font>
    <font>
      <b/>
      <vertAlign val="subscript"/>
      <sz val="11"/>
      <name val="Calibri"/>
      <family val="2"/>
      <scheme val="minor"/>
    </font>
    <font>
      <b/>
      <sz val="11"/>
      <name val="Symbol"/>
      <family val="1"/>
      <charset val="2"/>
    </font>
    <font>
      <b/>
      <sz val="10.55"/>
      <name val="Calibri"/>
      <family val="2"/>
    </font>
    <font>
      <b/>
      <vertAlign val="superscript"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4" fillId="0" borderId="0" xfId="0" applyFont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5" xfId="0" applyBorder="1"/>
    <xf numFmtId="164" fontId="0" fillId="0" borderId="0" xfId="0" applyNumberFormat="1" applyBorder="1"/>
    <xf numFmtId="0" fontId="5" fillId="0" borderId="0" xfId="0" applyFont="1" applyBorder="1"/>
    <xf numFmtId="164" fontId="0" fillId="0" borderId="15" xfId="0" applyNumberFormat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3" xfId="0" applyBorder="1"/>
    <xf numFmtId="0" fontId="0" fillId="0" borderId="0" xfId="0" applyProtection="1"/>
    <xf numFmtId="0" fontId="2" fillId="0" borderId="28" xfId="0" applyFont="1" applyBorder="1" applyProtection="1">
      <protection locked="0"/>
    </xf>
    <xf numFmtId="0" fontId="1" fillId="0" borderId="17" xfId="0" applyFont="1" applyBorder="1"/>
    <xf numFmtId="0" fontId="1" fillId="0" borderId="18" xfId="0" applyFont="1" applyBorder="1"/>
    <xf numFmtId="164" fontId="2" fillId="0" borderId="15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7" fillId="0" borderId="0" xfId="0" applyFont="1" applyBorder="1"/>
    <xf numFmtId="0" fontId="2" fillId="0" borderId="0" xfId="0" applyFont="1" applyBorder="1"/>
    <xf numFmtId="0" fontId="0" fillId="0" borderId="20" xfId="0" applyBorder="1" applyProtection="1"/>
    <xf numFmtId="0" fontId="10" fillId="0" borderId="0" xfId="0" applyFont="1"/>
    <xf numFmtId="0" fontId="10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1" fontId="0" fillId="0" borderId="0" xfId="0" applyNumberFormat="1" applyProtection="1"/>
    <xf numFmtId="0" fontId="0" fillId="0" borderId="4" xfId="0" applyBorder="1" applyProtection="1"/>
    <xf numFmtId="1" fontId="0" fillId="0" borderId="0" xfId="0" applyNumberFormat="1" applyFont="1" applyBorder="1" applyProtection="1"/>
    <xf numFmtId="0" fontId="0" fillId="0" borderId="0" xfId="0" applyFont="1" applyBorder="1" applyProtection="1"/>
    <xf numFmtId="164" fontId="0" fillId="0" borderId="15" xfId="0" applyNumberFormat="1" applyBorder="1" applyAlignment="1" applyProtection="1">
      <alignment horizontal="center"/>
    </xf>
    <xf numFmtId="0" fontId="0" fillId="0" borderId="5" xfId="0" applyBorder="1" applyProtection="1"/>
    <xf numFmtId="0" fontId="5" fillId="0" borderId="0" xfId="0" applyFont="1" applyBorder="1" applyProtection="1"/>
    <xf numFmtId="164" fontId="0" fillId="0" borderId="0" xfId="0" applyNumberFormat="1" applyFont="1" applyBorder="1" applyAlignment="1" applyProtection="1">
      <alignment horizontal="right"/>
    </xf>
    <xf numFmtId="2" fontId="0" fillId="0" borderId="0" xfId="0" applyNumberFormat="1" applyFill="1" applyBorder="1" applyProtection="1"/>
    <xf numFmtId="0" fontId="0" fillId="0" borderId="7" xfId="0" applyBorder="1" applyProtection="1"/>
    <xf numFmtId="1" fontId="0" fillId="0" borderId="7" xfId="0" applyNumberFormat="1" applyFont="1" applyBorder="1" applyProtection="1"/>
    <xf numFmtId="0" fontId="0" fillId="0" borderId="7" xfId="0" applyFont="1" applyBorder="1" applyProtection="1"/>
    <xf numFmtId="164" fontId="1" fillId="0" borderId="19" xfId="0" applyNumberFormat="1" applyFont="1" applyFill="1" applyBorder="1" applyProtection="1"/>
    <xf numFmtId="2" fontId="0" fillId="0" borderId="18" xfId="0" applyNumberFormat="1" applyFill="1" applyBorder="1" applyProtection="1"/>
    <xf numFmtId="2" fontId="0" fillId="0" borderId="19" xfId="0" applyNumberFormat="1" applyFill="1" applyBorder="1" applyProtection="1"/>
    <xf numFmtId="2" fontId="0" fillId="0" borderId="0" xfId="0" applyNumberFormat="1" applyProtection="1"/>
    <xf numFmtId="165" fontId="0" fillId="0" borderId="0" xfId="0" applyNumberFormat="1" applyProtection="1"/>
    <xf numFmtId="2" fontId="2" fillId="0" borderId="3" xfId="0" applyNumberFormat="1" applyFont="1" applyBorder="1" applyProtection="1">
      <protection locked="0"/>
    </xf>
    <xf numFmtId="2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7" xfId="0" applyBorder="1" applyProtection="1"/>
    <xf numFmtId="2" fontId="1" fillId="0" borderId="6" xfId="0" applyNumberFormat="1" applyFont="1" applyFill="1" applyBorder="1" applyProtection="1"/>
    <xf numFmtId="2" fontId="1" fillId="0" borderId="7" xfId="0" applyNumberFormat="1" applyFont="1" applyFill="1" applyBorder="1" applyProtection="1"/>
    <xf numFmtId="0" fontId="0" fillId="0" borderId="18" xfId="0" applyBorder="1"/>
    <xf numFmtId="0" fontId="12" fillId="0" borderId="6" xfId="0" applyFont="1" applyFill="1" applyBorder="1" applyProtection="1"/>
    <xf numFmtId="0" fontId="2" fillId="0" borderId="7" xfId="0" applyFont="1" applyBorder="1" applyProtection="1"/>
    <xf numFmtId="2" fontId="2" fillId="0" borderId="8" xfId="0" applyNumberFormat="1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164" fontId="0" fillId="0" borderId="0" xfId="0" applyNumberFormat="1" applyBorder="1" applyProtection="1"/>
    <xf numFmtId="0" fontId="12" fillId="0" borderId="19" xfId="0" applyFont="1" applyBorder="1"/>
    <xf numFmtId="0" fontId="12" fillId="0" borderId="18" xfId="0" applyFont="1" applyBorder="1"/>
    <xf numFmtId="0" fontId="12" fillId="0" borderId="17" xfId="0" applyFont="1" applyBorder="1" applyAlignment="1">
      <alignment horizontal="center"/>
    </xf>
    <xf numFmtId="0" fontId="0" fillId="0" borderId="16" xfId="0" applyBorder="1" applyProtection="1"/>
    <xf numFmtId="0" fontId="0" fillId="0" borderId="30" xfId="0" applyBorder="1" applyProtection="1"/>
    <xf numFmtId="0" fontId="15" fillId="0" borderId="0" xfId="0" applyFont="1"/>
    <xf numFmtId="164" fontId="0" fillId="0" borderId="7" xfId="0" applyNumberFormat="1" applyBorder="1"/>
    <xf numFmtId="0" fontId="0" fillId="0" borderId="6" xfId="0" applyBorder="1" applyProtection="1"/>
    <xf numFmtId="164" fontId="0" fillId="0" borderId="7" xfId="0" applyNumberFormat="1" applyBorder="1" applyProtection="1"/>
    <xf numFmtId="2" fontId="16" fillId="0" borderId="17" xfId="0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165" fontId="4" fillId="0" borderId="0" xfId="0" applyNumberFormat="1" applyFont="1" applyProtection="1">
      <protection locked="0"/>
    </xf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0" borderId="15" xfId="0" applyFont="1" applyBorder="1" applyAlignment="1">
      <alignment horizontal="center"/>
    </xf>
    <xf numFmtId="0" fontId="16" fillId="0" borderId="2" xfId="0" applyFont="1" applyFill="1" applyBorder="1" applyProtection="1"/>
    <xf numFmtId="0" fontId="16" fillId="0" borderId="7" xfId="0" applyFont="1" applyFill="1" applyBorder="1" applyProtection="1"/>
    <xf numFmtId="0" fontId="1" fillId="0" borderId="34" xfId="0" applyFont="1" applyBorder="1" applyProtection="1"/>
    <xf numFmtId="0" fontId="1" fillId="0" borderId="34" xfId="0" applyFont="1" applyFill="1" applyBorder="1" applyProtection="1"/>
    <xf numFmtId="1" fontId="4" fillId="0" borderId="0" xfId="0" applyNumberFormat="1" applyFont="1" applyProtection="1"/>
    <xf numFmtId="2" fontId="4" fillId="0" borderId="0" xfId="0" applyNumberFormat="1" applyFont="1" applyProtection="1"/>
    <xf numFmtId="0" fontId="10" fillId="0" borderId="1" xfId="0" applyFont="1" applyBorder="1"/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0" xfId="0" applyNumberFormat="1" applyFill="1" applyBorder="1"/>
    <xf numFmtId="2" fontId="1" fillId="0" borderId="0" xfId="0" applyNumberFormat="1" applyFont="1" applyFill="1" applyBorder="1"/>
    <xf numFmtId="2" fontId="10" fillId="0" borderId="1" xfId="0" applyNumberFormat="1" applyFont="1" applyFill="1" applyBorder="1"/>
    <xf numFmtId="2" fontId="0" fillId="0" borderId="2" xfId="0" applyNumberFormat="1" applyFill="1" applyBorder="1"/>
    <xf numFmtId="2" fontId="1" fillId="0" borderId="4" xfId="0" applyNumberFormat="1" applyFont="1" applyFill="1" applyBorder="1" applyAlignment="1">
      <alignment horizontal="right"/>
    </xf>
    <xf numFmtId="0" fontId="1" fillId="0" borderId="0" xfId="0" applyFont="1" applyBorder="1"/>
    <xf numFmtId="2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/>
    <xf numFmtId="2" fontId="0" fillId="0" borderId="0" xfId="0" applyNumberFormat="1" applyFill="1" applyBorder="1" applyAlignment="1">
      <alignment horizontal="left" vertical="top" wrapText="1"/>
    </xf>
    <xf numFmtId="0" fontId="1" fillId="0" borderId="10" xfId="0" applyFont="1" applyBorder="1" applyProtection="1"/>
    <xf numFmtId="0" fontId="21" fillId="0" borderId="34" xfId="0" applyFont="1" applyBorder="1" applyProtection="1"/>
    <xf numFmtId="0" fontId="16" fillId="0" borderId="34" xfId="0" applyFont="1" applyBorder="1" applyProtection="1"/>
    <xf numFmtId="0" fontId="1" fillId="0" borderId="34" xfId="0" applyFont="1" applyBorder="1"/>
    <xf numFmtId="0" fontId="16" fillId="0" borderId="34" xfId="0" applyFont="1" applyFill="1" applyBorder="1" applyProtection="1"/>
    <xf numFmtId="0" fontId="1" fillId="0" borderId="33" xfId="0" applyFont="1" applyFill="1" applyBorder="1"/>
    <xf numFmtId="0" fontId="1" fillId="0" borderId="38" xfId="0" applyFont="1" applyFill="1" applyBorder="1"/>
    <xf numFmtId="3" fontId="2" fillId="0" borderId="14" xfId="0" applyNumberFormat="1" applyFont="1" applyBorder="1" applyAlignment="1" applyProtection="1">
      <alignment horizontal="center"/>
      <protection locked="0"/>
    </xf>
    <xf numFmtId="0" fontId="0" fillId="0" borderId="8" xfId="0" applyBorder="1" applyProtection="1"/>
    <xf numFmtId="0" fontId="4" fillId="2" borderId="7" xfId="0" applyFont="1" applyFill="1" applyBorder="1"/>
    <xf numFmtId="164" fontId="4" fillId="0" borderId="0" xfId="0" applyNumberFormat="1" applyFont="1"/>
    <xf numFmtId="0" fontId="0" fillId="0" borderId="4" xfId="0" applyBorder="1" applyAlignment="1">
      <alignment horizontal="right" vertical="top"/>
    </xf>
    <xf numFmtId="3" fontId="2" fillId="0" borderId="28" xfId="0" applyNumberFormat="1" applyFont="1" applyBorder="1" applyProtection="1">
      <protection locked="0"/>
    </xf>
    <xf numFmtId="0" fontId="12" fillId="0" borderId="39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28" xfId="0" applyFont="1" applyBorder="1"/>
    <xf numFmtId="0" fontId="2" fillId="0" borderId="3" xfId="0" applyFont="1" applyBorder="1"/>
    <xf numFmtId="0" fontId="0" fillId="0" borderId="11" xfId="0" applyBorder="1"/>
    <xf numFmtId="0" fontId="2" fillId="0" borderId="27" xfId="0" applyFont="1" applyBorder="1" applyProtection="1">
      <protection locked="0"/>
    </xf>
    <xf numFmtId="164" fontId="0" fillId="0" borderId="17" xfId="0" applyNumberFormat="1" applyFont="1" applyBorder="1"/>
    <xf numFmtId="164" fontId="0" fillId="0" borderId="16" xfId="0" applyNumberFormat="1" applyFont="1" applyBorder="1"/>
    <xf numFmtId="0" fontId="1" fillId="0" borderId="37" xfId="0" applyFont="1" applyBorder="1" applyProtection="1"/>
    <xf numFmtId="0" fontId="1" fillId="0" borderId="31" xfId="0" applyFont="1" applyBorder="1" applyProtection="1"/>
    <xf numFmtId="0" fontId="1" fillId="0" borderId="37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3" fontId="0" fillId="0" borderId="35" xfId="0" applyNumberFormat="1" applyFont="1" applyBorder="1" applyAlignment="1" applyProtection="1">
      <alignment horizontal="center"/>
    </xf>
    <xf numFmtId="3" fontId="0" fillId="0" borderId="21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164" fontId="0" fillId="0" borderId="36" xfId="0" applyNumberFormat="1" applyFont="1" applyBorder="1" applyAlignment="1" applyProtection="1">
      <alignment horizontal="center"/>
    </xf>
    <xf numFmtId="164" fontId="0" fillId="0" borderId="9" xfId="0" applyNumberFormat="1" applyFont="1" applyBorder="1" applyAlignment="1" applyProtection="1">
      <alignment horizontal="center"/>
    </xf>
    <xf numFmtId="2" fontId="0" fillId="0" borderId="24" xfId="0" applyNumberFormat="1" applyFont="1" applyBorder="1" applyAlignment="1" applyProtection="1">
      <alignment horizontal="center"/>
    </xf>
    <xf numFmtId="3" fontId="0" fillId="0" borderId="36" xfId="0" applyNumberFormat="1" applyFont="1" applyBorder="1" applyAlignment="1" applyProtection="1">
      <alignment horizontal="center"/>
    </xf>
    <xf numFmtId="3" fontId="0" fillId="0" borderId="9" xfId="0" applyNumberFormat="1" applyFont="1" applyBorder="1" applyAlignment="1" applyProtection="1">
      <alignment horizontal="center"/>
    </xf>
    <xf numFmtId="3" fontId="0" fillId="0" borderId="24" xfId="0" applyNumberFormat="1" applyFont="1" applyBorder="1" applyAlignment="1" applyProtection="1">
      <alignment horizontal="center"/>
    </xf>
    <xf numFmtId="164" fontId="0" fillId="0" borderId="24" xfId="0" applyNumberFormat="1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1" fontId="0" fillId="0" borderId="36" xfId="0" applyNumberFormat="1" applyFont="1" applyBorder="1" applyAlignment="1" applyProtection="1">
      <alignment horizontal="center"/>
    </xf>
    <xf numFmtId="1" fontId="0" fillId="0" borderId="9" xfId="0" applyNumberFormat="1" applyFont="1" applyBorder="1" applyAlignment="1" applyProtection="1">
      <alignment horizontal="center"/>
    </xf>
    <xf numFmtId="1" fontId="0" fillId="0" borderId="24" xfId="0" applyNumberFormat="1" applyFont="1" applyBorder="1" applyAlignment="1" applyProtection="1">
      <alignment horizontal="center"/>
    </xf>
    <xf numFmtId="1" fontId="0" fillId="0" borderId="23" xfId="0" applyNumberFormat="1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165" fontId="0" fillId="0" borderId="23" xfId="0" applyNumberFormat="1" applyFont="1" applyBorder="1" applyAlignment="1" applyProtection="1">
      <alignment horizontal="center"/>
    </xf>
    <xf numFmtId="165" fontId="0" fillId="0" borderId="24" xfId="0" applyNumberFormat="1" applyFont="1" applyBorder="1" applyAlignment="1" applyProtection="1">
      <alignment horizontal="center"/>
    </xf>
    <xf numFmtId="3" fontId="0" fillId="0" borderId="23" xfId="0" applyNumberFormat="1" applyFont="1" applyBorder="1" applyAlignment="1" applyProtection="1">
      <alignment horizontal="center"/>
    </xf>
    <xf numFmtId="2" fontId="0" fillId="0" borderId="23" xfId="0" applyNumberFormat="1" applyFont="1" applyBorder="1" applyAlignment="1" applyProtection="1">
      <alignment horizontal="center"/>
    </xf>
    <xf numFmtId="2" fontId="0" fillId="0" borderId="9" xfId="0" applyNumberFormat="1" applyFont="1" applyBorder="1" applyAlignment="1" applyProtection="1">
      <alignment horizontal="center"/>
    </xf>
    <xf numFmtId="1" fontId="3" fillId="0" borderId="23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1" fontId="3" fillId="0" borderId="24" xfId="0" applyNumberFormat="1" applyFont="1" applyBorder="1" applyAlignment="1" applyProtection="1">
      <alignment horizontal="center"/>
    </xf>
    <xf numFmtId="165" fontId="0" fillId="0" borderId="9" xfId="0" applyNumberFormat="1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165" fontId="12" fillId="0" borderId="24" xfId="0" applyNumberFormat="1" applyFont="1" applyBorder="1" applyAlignment="1" applyProtection="1">
      <alignment horizontal="center"/>
    </xf>
    <xf numFmtId="2" fontId="0" fillId="0" borderId="36" xfId="0" applyNumberFormat="1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1" fontId="0" fillId="0" borderId="24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5" fontId="0" fillId="0" borderId="24" xfId="0" applyNumberFormat="1" applyBorder="1" applyAlignment="1" applyProtection="1">
      <alignment horizontal="center"/>
    </xf>
    <xf numFmtId="164" fontId="0" fillId="0" borderId="24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24" xfId="0" applyNumberForma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33" fillId="0" borderId="9" xfId="0" applyFont="1" applyBorder="1" applyAlignment="1" applyProtection="1">
      <alignment horizontal="center"/>
    </xf>
    <xf numFmtId="164" fontId="4" fillId="0" borderId="0" xfId="0" applyNumberFormat="1" applyFont="1" applyProtection="1"/>
    <xf numFmtId="2" fontId="33" fillId="0" borderId="24" xfId="0" applyNumberFormat="1" applyFont="1" applyFill="1" applyBorder="1" applyAlignment="1" applyProtection="1">
      <alignment horizontal="center"/>
    </xf>
    <xf numFmtId="0" fontId="16" fillId="0" borderId="38" xfId="0" applyFont="1" applyFill="1" applyBorder="1" applyProtection="1"/>
    <xf numFmtId="3" fontId="0" fillId="0" borderId="9" xfId="0" applyNumberFormat="1" applyBorder="1" applyAlignment="1" applyProtection="1">
      <alignment horizontal="center"/>
    </xf>
    <xf numFmtId="3" fontId="0" fillId="0" borderId="24" xfId="0" applyNumberFormat="1" applyBorder="1" applyAlignment="1" applyProtection="1">
      <alignment horizontal="center"/>
    </xf>
    <xf numFmtId="164" fontId="0" fillId="0" borderId="25" xfId="0" applyNumberFormat="1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center"/>
    </xf>
    <xf numFmtId="3" fontId="0" fillId="0" borderId="36" xfId="0" applyNumberFormat="1" applyBorder="1" applyAlignment="1" applyProtection="1">
      <alignment horizontal="center"/>
    </xf>
    <xf numFmtId="164" fontId="2" fillId="0" borderId="36" xfId="0" applyNumberFormat="1" applyFont="1" applyBorder="1" applyAlignment="1" applyProtection="1">
      <alignment horizontal="center"/>
    </xf>
    <xf numFmtId="164" fontId="0" fillId="0" borderId="36" xfId="0" applyNumberForma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2" fontId="33" fillId="0" borderId="36" xfId="0" applyNumberFormat="1" applyFont="1" applyFill="1" applyBorder="1" applyAlignment="1" applyProtection="1">
      <alignment horizontal="center"/>
    </xf>
    <xf numFmtId="165" fontId="0" fillId="0" borderId="36" xfId="0" applyNumberFormat="1" applyBorder="1" applyAlignment="1" applyProtection="1">
      <alignment horizontal="center"/>
    </xf>
    <xf numFmtId="2" fontId="0" fillId="0" borderId="36" xfId="0" applyNumberFormat="1" applyBorder="1" applyAlignment="1" applyProtection="1">
      <alignment horizontal="center"/>
    </xf>
    <xf numFmtId="1" fontId="3" fillId="0" borderId="36" xfId="0" applyNumberFormat="1" applyFont="1" applyBorder="1" applyAlignment="1" applyProtection="1">
      <alignment horizontal="center"/>
    </xf>
    <xf numFmtId="0" fontId="9" fillId="0" borderId="36" xfId="0" applyFont="1" applyBorder="1" applyAlignment="1" applyProtection="1">
      <alignment horizontal="center"/>
    </xf>
    <xf numFmtId="165" fontId="0" fillId="0" borderId="36" xfId="0" applyNumberFormat="1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33" fillId="0" borderId="34" xfId="0" applyFont="1" applyBorder="1" applyProtection="1"/>
    <xf numFmtId="0" fontId="3" fillId="0" borderId="34" xfId="0" applyFont="1" applyBorder="1" applyProtection="1"/>
    <xf numFmtId="0" fontId="0" fillId="0" borderId="0" xfId="0" applyBorder="1" applyAlignment="1">
      <alignment horizontal="left" vertical="top" wrapText="1"/>
    </xf>
    <xf numFmtId="2" fontId="12" fillId="0" borderId="38" xfId="0" applyNumberFormat="1" applyFont="1" applyBorder="1" applyProtection="1">
      <protection locked="0"/>
    </xf>
    <xf numFmtId="0" fontId="31" fillId="0" borderId="0" xfId="0" applyFont="1" applyFill="1" applyBorder="1" applyProtection="1"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5" fontId="4" fillId="0" borderId="0" xfId="0" applyNumberFormat="1" applyFont="1" applyProtection="1"/>
    <xf numFmtId="2" fontId="12" fillId="0" borderId="16" xfId="0" applyNumberFormat="1" applyFont="1" applyFill="1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165" fontId="2" fillId="0" borderId="28" xfId="0" applyNumberFormat="1" applyFont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16" fillId="0" borderId="0" xfId="0" applyFont="1" applyFill="1" applyBorder="1" applyProtection="1">
      <protection locked="0"/>
    </xf>
    <xf numFmtId="2" fontId="12" fillId="0" borderId="0" xfId="0" applyNumberFormat="1" applyFont="1" applyProtection="1">
      <protection locked="0"/>
    </xf>
    <xf numFmtId="0" fontId="12" fillId="0" borderId="0" xfId="0" applyFo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7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1" fillId="0" borderId="17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2" fontId="1" fillId="0" borderId="17" xfId="0" applyNumberFormat="1" applyFont="1" applyFill="1" applyBorder="1" applyAlignment="1" applyProtection="1">
      <alignment horizontal="center" wrapText="1"/>
    </xf>
    <xf numFmtId="2" fontId="1" fillId="0" borderId="19" xfId="0" applyNumberFormat="1" applyFont="1" applyFill="1" applyBorder="1" applyAlignment="1" applyProtection="1">
      <alignment horizontal="center" wrapText="1"/>
    </xf>
    <xf numFmtId="2" fontId="0" fillId="0" borderId="0" xfId="0" applyNumberFormat="1" applyFill="1" applyBorder="1" applyAlignment="1">
      <alignment horizontal="left" vertical="center" wrapText="1"/>
    </xf>
    <xf numFmtId="2" fontId="0" fillId="0" borderId="5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 wrapText="1"/>
    </xf>
    <xf numFmtId="2" fontId="0" fillId="0" borderId="5" xfId="0" applyNumberFormat="1" applyFill="1" applyBorder="1" applyAlignment="1">
      <alignment horizontal="left" vertical="top" wrapText="1"/>
    </xf>
    <xf numFmtId="2" fontId="0" fillId="0" borderId="7" xfId="0" applyNumberFormat="1" applyFill="1" applyBorder="1" applyAlignment="1">
      <alignment horizontal="left" vertical="top" wrapText="1"/>
    </xf>
    <xf numFmtId="2" fontId="0" fillId="0" borderId="8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Temperaturer</a:t>
            </a:r>
          </a:p>
        </c:rich>
      </c:tx>
      <c:layout>
        <c:manualLayout>
          <c:xMode val="edge"/>
          <c:yMode val="edge"/>
          <c:x val="0.39716494845360822"/>
          <c:y val="3.1856640102743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4353437779040512E-2"/>
          <c:y val="0.13574910763781761"/>
          <c:w val="0.90987336634467086"/>
          <c:h val="0.75992729411705684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Performancetest!$B$47:$C$47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Performancetest!$B$48:$C$48</c:f>
              <c:numCache>
                <c:formatCode>0.00</c:formatCode>
                <c:ptCount val="2"/>
                <c:pt idx="0">
                  <c:v>23.1</c:v>
                </c:pt>
                <c:pt idx="1">
                  <c:v>10.172662248617492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Performancetest!$B$47:$C$47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Performancetest!$B$49:$C$49</c:f>
              <c:numCache>
                <c:formatCode>0.00</c:formatCode>
                <c:ptCount val="2"/>
                <c:pt idx="0">
                  <c:v>18.371034522572209</c:v>
                </c:pt>
                <c:pt idx="1">
                  <c:v>8.6017949397045328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Performancetest!$B$47:$C$47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Performancetest!$B$50:$C$50</c:f>
              <c:numCache>
                <c:formatCode>0.00</c:formatCode>
                <c:ptCount val="2"/>
                <c:pt idx="0">
                  <c:v>16.155520844288976</c:v>
                </c:pt>
                <c:pt idx="1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729320"/>
        <c:axId val="188133880"/>
      </c:lineChart>
      <c:catAx>
        <c:axId val="18872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133880"/>
        <c:crosses val="autoZero"/>
        <c:auto val="1"/>
        <c:lblAlgn val="ctr"/>
        <c:lblOffset val="100"/>
        <c:noMultiLvlLbl val="0"/>
      </c:catAx>
      <c:valAx>
        <c:axId val="18813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872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Temperaturforløb</a:t>
            </a:r>
          </a:p>
        </c:rich>
      </c:tx>
      <c:layout>
        <c:manualLayout>
          <c:xMode val="edge"/>
          <c:yMode val="edge"/>
          <c:x val="0.25283066512716446"/>
          <c:y val="4.6192309805695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2420818412543894"/>
          <c:y val="0.13420075455696046"/>
          <c:w val="0.82466619212914249"/>
          <c:h val="0.78624089658349772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Datablad!$Z$4:$AA$4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Datablad!$Z$5:$AA$5</c:f>
              <c:numCache>
                <c:formatCode>0.0</c:formatCode>
                <c:ptCount val="2"/>
                <c:pt idx="0">
                  <c:v>25</c:v>
                </c:pt>
                <c:pt idx="1">
                  <c:v>3.4018815643692157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Datablad!$Z$4:$AA$4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Datablad!$Z$6:$AA$6</c:f>
              <c:numCache>
                <c:formatCode>0.0</c:formatCode>
                <c:ptCount val="2"/>
                <c:pt idx="0">
                  <c:v>18.297981171043499</c:v>
                </c:pt>
                <c:pt idx="1">
                  <c:v>-0.52255230370731098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Datablad!$Z$4:$AA$4</c:f>
              <c:strCache>
                <c:ptCount val="2"/>
                <c:pt idx="0">
                  <c:v>varm</c:v>
                </c:pt>
                <c:pt idx="1">
                  <c:v>kold</c:v>
                </c:pt>
              </c:strCache>
            </c:strRef>
          </c:cat>
          <c:val>
            <c:numRef>
              <c:f>Datablad!$Z$7:$AA$7</c:f>
              <c:numCache>
                <c:formatCode>0.0</c:formatCode>
                <c:ptCount val="2"/>
                <c:pt idx="0">
                  <c:v>15.812226207700331</c:v>
                </c:pt>
                <c:pt idx="1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14384"/>
        <c:axId val="188276696"/>
      </c:lineChart>
      <c:catAx>
        <c:axId val="189014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8276696"/>
        <c:crosses val="autoZero"/>
        <c:auto val="1"/>
        <c:lblAlgn val="ctr"/>
        <c:lblOffset val="100"/>
        <c:noMultiLvlLbl val="0"/>
      </c:catAx>
      <c:valAx>
        <c:axId val="188276696"/>
        <c:scaling>
          <c:orientation val="minMax"/>
          <c:max val="40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8901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6</xdr:row>
      <xdr:rowOff>28574</xdr:rowOff>
    </xdr:from>
    <xdr:to>
      <xdr:col>10</xdr:col>
      <xdr:colOff>542924</xdr:colOff>
      <xdr:row>7</xdr:row>
      <xdr:rowOff>47625</xdr:rowOff>
    </xdr:to>
    <xdr:sp macro="" textlink="">
      <xdr:nvSpPr>
        <xdr:cNvPr id="9" name="Rektangel 8"/>
        <xdr:cNvSpPr/>
      </xdr:nvSpPr>
      <xdr:spPr>
        <a:xfrm>
          <a:off x="10810874" y="619124"/>
          <a:ext cx="1381125" cy="209551"/>
        </a:xfrm>
        <a:prstGeom prst="rect">
          <a:avLst/>
        </a:prstGeom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a-DK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Afkast</a:t>
          </a:r>
        </a:p>
      </xdr:txBody>
    </xdr:sp>
    <xdr:clientData/>
  </xdr:twoCellAnchor>
  <xdr:twoCellAnchor>
    <xdr:from>
      <xdr:col>9</xdr:col>
      <xdr:colOff>0</xdr:colOff>
      <xdr:row>10</xdr:row>
      <xdr:rowOff>200025</xdr:rowOff>
    </xdr:from>
    <xdr:to>
      <xdr:col>10</xdr:col>
      <xdr:colOff>561976</xdr:colOff>
      <xdr:row>12</xdr:row>
      <xdr:rowOff>28575</xdr:rowOff>
    </xdr:to>
    <xdr:sp macro="" textlink="">
      <xdr:nvSpPr>
        <xdr:cNvPr id="10" name="Rektangel 9"/>
        <xdr:cNvSpPr/>
      </xdr:nvSpPr>
      <xdr:spPr>
        <a:xfrm>
          <a:off x="8826500" y="2447925"/>
          <a:ext cx="1235076" cy="260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Indblæsning</a:t>
          </a:r>
        </a:p>
      </xdr:txBody>
    </xdr:sp>
    <xdr:clientData/>
  </xdr:twoCellAnchor>
  <xdr:twoCellAnchor>
    <xdr:from>
      <xdr:col>9</xdr:col>
      <xdr:colOff>123825</xdr:colOff>
      <xdr:row>7</xdr:row>
      <xdr:rowOff>57150</xdr:rowOff>
    </xdr:from>
    <xdr:to>
      <xdr:col>9</xdr:col>
      <xdr:colOff>133350</xdr:colOff>
      <xdr:row>10</xdr:row>
      <xdr:rowOff>171450</xdr:rowOff>
    </xdr:to>
    <xdr:cxnSp macro="">
      <xdr:nvCxnSpPr>
        <xdr:cNvPr id="12" name="Lige pilforbindelse 11"/>
        <xdr:cNvCxnSpPr/>
      </xdr:nvCxnSpPr>
      <xdr:spPr>
        <a:xfrm>
          <a:off x="11010900" y="838200"/>
          <a:ext cx="9525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419100</xdr:colOff>
      <xdr:row>7</xdr:row>
      <xdr:rowOff>57150</xdr:rowOff>
    </xdr:from>
    <xdr:to>
      <xdr:col>10</xdr:col>
      <xdr:colOff>428625</xdr:colOff>
      <xdr:row>10</xdr:row>
      <xdr:rowOff>161926</xdr:rowOff>
    </xdr:to>
    <xdr:cxnSp macro="">
      <xdr:nvCxnSpPr>
        <xdr:cNvPr id="15" name="Lige pilforbindelse 14"/>
        <xdr:cNvCxnSpPr/>
      </xdr:nvCxnSpPr>
      <xdr:spPr>
        <a:xfrm flipH="1" flipV="1">
          <a:off x="12163425" y="838200"/>
          <a:ext cx="9525" cy="6953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547535</xdr:colOff>
      <xdr:row>11</xdr:row>
      <xdr:rowOff>70519</xdr:rowOff>
    </xdr:from>
    <xdr:to>
      <xdr:col>8</xdr:col>
      <xdr:colOff>1571624</xdr:colOff>
      <xdr:row>11</xdr:row>
      <xdr:rowOff>116238</xdr:rowOff>
    </xdr:to>
    <xdr:sp macro="" textlink="">
      <xdr:nvSpPr>
        <xdr:cNvPr id="16" name="Højrepil 15"/>
        <xdr:cNvSpPr/>
      </xdr:nvSpPr>
      <xdr:spPr>
        <a:xfrm rot="10800000">
          <a:off x="8643785" y="2562894"/>
          <a:ext cx="102408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10</xdr:col>
      <xdr:colOff>571499</xdr:colOff>
      <xdr:row>11</xdr:row>
      <xdr:rowOff>66675</xdr:rowOff>
    </xdr:from>
    <xdr:to>
      <xdr:col>11</xdr:col>
      <xdr:colOff>650874</xdr:colOff>
      <xdr:row>11</xdr:row>
      <xdr:rowOff>127000</xdr:rowOff>
    </xdr:to>
    <xdr:sp macro="" textlink="">
      <xdr:nvSpPr>
        <xdr:cNvPr id="17" name="Højrepil 16"/>
        <xdr:cNvSpPr/>
      </xdr:nvSpPr>
      <xdr:spPr>
        <a:xfrm flipH="1">
          <a:off x="10794999" y="2559050"/>
          <a:ext cx="730250" cy="60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8</xdr:col>
      <xdr:colOff>571500</xdr:colOff>
      <xdr:row>6</xdr:row>
      <xdr:rowOff>95251</xdr:rowOff>
    </xdr:from>
    <xdr:to>
      <xdr:col>9</xdr:col>
      <xdr:colOff>9525</xdr:colOff>
      <xdr:row>6</xdr:row>
      <xdr:rowOff>142875</xdr:rowOff>
    </xdr:to>
    <xdr:sp macro="" textlink="">
      <xdr:nvSpPr>
        <xdr:cNvPr id="24" name="Højrepil 23"/>
        <xdr:cNvSpPr/>
      </xdr:nvSpPr>
      <xdr:spPr>
        <a:xfrm>
          <a:off x="8763000" y="1460501"/>
          <a:ext cx="803275" cy="476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10</xdr:col>
      <xdr:colOff>542926</xdr:colOff>
      <xdr:row>6</xdr:row>
      <xdr:rowOff>101601</xdr:rowOff>
    </xdr:from>
    <xdr:to>
      <xdr:col>11</xdr:col>
      <xdr:colOff>666750</xdr:colOff>
      <xdr:row>6</xdr:row>
      <xdr:rowOff>147320</xdr:rowOff>
    </xdr:to>
    <xdr:sp macro="" textlink="">
      <xdr:nvSpPr>
        <xdr:cNvPr id="25" name="Højrepil 24"/>
        <xdr:cNvSpPr/>
      </xdr:nvSpPr>
      <xdr:spPr>
        <a:xfrm>
          <a:off x="10893426" y="1466851"/>
          <a:ext cx="77469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15</xdr:col>
      <xdr:colOff>574674</xdr:colOff>
      <xdr:row>2</xdr:row>
      <xdr:rowOff>52387</xdr:rowOff>
    </xdr:from>
    <xdr:to>
      <xdr:col>23</xdr:col>
      <xdr:colOff>482600</xdr:colOff>
      <xdr:row>16</xdr:row>
      <xdr:rowOff>139700</xdr:rowOff>
    </xdr:to>
    <xdr:graphicFrame macro="">
      <xdr:nvGraphicFramePr>
        <xdr:cNvPr id="29" name="Diagram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41</xdr:row>
          <xdr:rowOff>38100</xdr:rowOff>
        </xdr:from>
        <xdr:to>
          <xdr:col>2</xdr:col>
          <xdr:colOff>381000</xdr:colOff>
          <xdr:row>45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457200</xdr:colOff>
          <xdr:row>16</xdr:row>
          <xdr:rowOff>180975</xdr:rowOff>
        </xdr:from>
        <xdr:to>
          <xdr:col>12</xdr:col>
          <xdr:colOff>266700</xdr:colOff>
          <xdr:row>18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</a:rPr>
                <a:t>Tryk flere gange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1</xdr:colOff>
      <xdr:row>1</xdr:row>
      <xdr:rowOff>1</xdr:rowOff>
    </xdr:from>
    <xdr:to>
      <xdr:col>0</xdr:col>
      <xdr:colOff>1295401</xdr:colOff>
      <xdr:row>3</xdr:row>
      <xdr:rowOff>143953</xdr:rowOff>
    </xdr:to>
    <xdr:pic>
      <xdr:nvPicPr>
        <xdr:cNvPr id="13" name="Picture 12" descr="TI logo DK farve A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1"/>
          <a:ext cx="1295400" cy="613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0.09821</cdr:x>
      <cdr:y>0.25693</cdr:y>
    </cdr:from>
    <cdr:to>
      <cdr:x>0.30997</cdr:x>
      <cdr:y>0.33773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900" y="838200"/>
          <a:ext cx="1013214" cy="263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Udsugning</a:t>
          </a:r>
        </a:p>
      </cdr:txBody>
    </cdr:sp>
  </cdr:relSizeAnchor>
  <cdr:relSizeAnchor xmlns:cdr="http://schemas.openxmlformats.org/drawingml/2006/chartDrawing">
    <cdr:from>
      <cdr:x>0.09555</cdr:x>
      <cdr:y>0.39319</cdr:y>
    </cdr:from>
    <cdr:to>
      <cdr:x>0.33015</cdr:x>
      <cdr:y>0.47624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7200" y="1282700"/>
          <a:ext cx="1122485" cy="270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Mellemkreds</a:t>
          </a:r>
        </a:p>
      </cdr:txBody>
    </cdr:sp>
  </cdr:relSizeAnchor>
  <cdr:relSizeAnchor xmlns:cdr="http://schemas.openxmlformats.org/drawingml/2006/chartDrawing">
    <cdr:from>
      <cdr:x>0.09821</cdr:x>
      <cdr:y>0.50608</cdr:y>
    </cdr:from>
    <cdr:to>
      <cdr:x>0.30997</cdr:x>
      <cdr:y>0.58688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9900" y="1651000"/>
          <a:ext cx="1013214" cy="263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Indblæsning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447675</xdr:colOff>
      <xdr:row>6</xdr:row>
      <xdr:rowOff>8071</xdr:rowOff>
    </xdr:from>
    <xdr:to>
      <xdr:col>11</xdr:col>
      <xdr:colOff>542925</xdr:colOff>
      <xdr:row>7</xdr:row>
      <xdr:rowOff>8072</xdr:rowOff>
    </xdr:to>
    <xdr:sp macro="" textlink="">
      <xdr:nvSpPr>
        <xdr:cNvPr id="3" name="Rektangel 2"/>
        <xdr:cNvSpPr/>
      </xdr:nvSpPr>
      <xdr:spPr>
        <a:xfrm>
          <a:off x="10820239" y="613474"/>
          <a:ext cx="1322199" cy="19372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Afkast</a:t>
          </a:r>
        </a:p>
      </xdr:txBody>
    </xdr:sp>
    <xdr:clientData/>
  </xdr:twoCellAnchor>
  <xdr:twoCellAnchor>
    <xdr:from>
      <xdr:col>9</xdr:col>
      <xdr:colOff>447675</xdr:colOff>
      <xdr:row>11</xdr:row>
      <xdr:rowOff>8071</xdr:rowOff>
    </xdr:from>
    <xdr:to>
      <xdr:col>11</xdr:col>
      <xdr:colOff>542925</xdr:colOff>
      <xdr:row>12</xdr:row>
      <xdr:rowOff>8071</xdr:rowOff>
    </xdr:to>
    <xdr:sp macro="" textlink="">
      <xdr:nvSpPr>
        <xdr:cNvPr id="5" name="Rektangel 4"/>
        <xdr:cNvSpPr/>
      </xdr:nvSpPr>
      <xdr:spPr>
        <a:xfrm>
          <a:off x="10820239" y="1606334"/>
          <a:ext cx="1322199" cy="19372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</a:rPr>
            <a:t>Indblæsning</a:t>
          </a:r>
        </a:p>
      </xdr:txBody>
    </xdr:sp>
    <xdr:clientData/>
  </xdr:twoCellAnchor>
  <xdr:twoCellAnchor>
    <xdr:from>
      <xdr:col>11</xdr:col>
      <xdr:colOff>395530</xdr:colOff>
      <xdr:row>6</xdr:row>
      <xdr:rowOff>177584</xdr:rowOff>
    </xdr:from>
    <xdr:to>
      <xdr:col>11</xdr:col>
      <xdr:colOff>403602</xdr:colOff>
      <xdr:row>11</xdr:row>
      <xdr:rowOff>16144</xdr:rowOff>
    </xdr:to>
    <xdr:cxnSp macro="">
      <xdr:nvCxnSpPr>
        <xdr:cNvPr id="12" name="Lige pilforbindelse 11"/>
        <xdr:cNvCxnSpPr/>
      </xdr:nvCxnSpPr>
      <xdr:spPr>
        <a:xfrm flipH="1" flipV="1">
          <a:off x="12067691" y="782987"/>
          <a:ext cx="8072" cy="8556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597975</xdr:colOff>
      <xdr:row>7</xdr:row>
      <xdr:rowOff>24216</xdr:rowOff>
    </xdr:from>
    <xdr:to>
      <xdr:col>9</xdr:col>
      <xdr:colOff>613474</xdr:colOff>
      <xdr:row>11</xdr:row>
      <xdr:rowOff>1453</xdr:rowOff>
    </xdr:to>
    <xdr:cxnSp macro="">
      <xdr:nvCxnSpPr>
        <xdr:cNvPr id="14" name="Lige pilforbindelse 13"/>
        <xdr:cNvCxnSpPr/>
      </xdr:nvCxnSpPr>
      <xdr:spPr>
        <a:xfrm flipH="1">
          <a:off x="11043187" y="823347"/>
          <a:ext cx="15499" cy="8005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387458</xdr:colOff>
      <xdr:row>6</xdr:row>
      <xdr:rowOff>59217</xdr:rowOff>
    </xdr:from>
    <xdr:to>
      <xdr:col>9</xdr:col>
      <xdr:colOff>419746</xdr:colOff>
      <xdr:row>6</xdr:row>
      <xdr:rowOff>104936</xdr:rowOff>
    </xdr:to>
    <xdr:sp macro="" textlink="">
      <xdr:nvSpPr>
        <xdr:cNvPr id="2" name="Højrepil 1"/>
        <xdr:cNvSpPr/>
      </xdr:nvSpPr>
      <xdr:spPr>
        <a:xfrm>
          <a:off x="10146547" y="664620"/>
          <a:ext cx="718411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573115</xdr:colOff>
      <xdr:row>6</xdr:row>
      <xdr:rowOff>80720</xdr:rowOff>
    </xdr:from>
    <xdr:to>
      <xdr:col>13</xdr:col>
      <xdr:colOff>64577</xdr:colOff>
      <xdr:row>6</xdr:row>
      <xdr:rowOff>129152</xdr:rowOff>
    </xdr:to>
    <xdr:sp macro="" textlink="">
      <xdr:nvSpPr>
        <xdr:cNvPr id="13" name="Højrepil 12"/>
        <xdr:cNvSpPr/>
      </xdr:nvSpPr>
      <xdr:spPr>
        <a:xfrm>
          <a:off x="12245276" y="686123"/>
          <a:ext cx="718411" cy="484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556971</xdr:colOff>
      <xdr:row>11</xdr:row>
      <xdr:rowOff>88791</xdr:rowOff>
    </xdr:from>
    <xdr:to>
      <xdr:col>12</xdr:col>
      <xdr:colOff>763985</xdr:colOff>
      <xdr:row>11</xdr:row>
      <xdr:rowOff>134510</xdr:rowOff>
    </xdr:to>
    <xdr:sp macro="" textlink="">
      <xdr:nvSpPr>
        <xdr:cNvPr id="15" name="Højrepil 14"/>
        <xdr:cNvSpPr/>
      </xdr:nvSpPr>
      <xdr:spPr>
        <a:xfrm rot="10800000">
          <a:off x="12145721" y="2529572"/>
          <a:ext cx="812248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8</xdr:col>
      <xdr:colOff>419746</xdr:colOff>
      <xdr:row>11</xdr:row>
      <xdr:rowOff>88792</xdr:rowOff>
    </xdr:from>
    <xdr:to>
      <xdr:col>9</xdr:col>
      <xdr:colOff>452034</xdr:colOff>
      <xdr:row>11</xdr:row>
      <xdr:rowOff>134511</xdr:rowOff>
    </xdr:to>
    <xdr:sp macro="" textlink="">
      <xdr:nvSpPr>
        <xdr:cNvPr id="17" name="Højrepil 16"/>
        <xdr:cNvSpPr/>
      </xdr:nvSpPr>
      <xdr:spPr>
        <a:xfrm rot="10800000">
          <a:off x="10178835" y="1711271"/>
          <a:ext cx="718411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15</xdr:col>
      <xdr:colOff>59134</xdr:colOff>
      <xdr:row>4</xdr:row>
      <xdr:rowOff>2382</xdr:rowOff>
    </xdr:from>
    <xdr:to>
      <xdr:col>20</xdr:col>
      <xdr:colOff>69453</xdr:colOff>
      <xdr:row>19</xdr:row>
      <xdr:rowOff>19844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200025</xdr:colOff>
          <xdr:row>20</xdr:row>
          <xdr:rowOff>152400</xdr:rowOff>
        </xdr:from>
        <xdr:to>
          <xdr:col>13</xdr:col>
          <xdr:colOff>504825</xdr:colOff>
          <xdr:row>22</xdr:row>
          <xdr:rowOff>19050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</a:rPr>
                <a:t>tryk flere gange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201889</xdr:colOff>
      <xdr:row>0</xdr:row>
      <xdr:rowOff>85415</xdr:rowOff>
    </xdr:from>
    <xdr:to>
      <xdr:col>1</xdr:col>
      <xdr:colOff>1497289</xdr:colOff>
      <xdr:row>3</xdr:row>
      <xdr:rowOff>4736</xdr:rowOff>
    </xdr:to>
    <xdr:pic>
      <xdr:nvPicPr>
        <xdr:cNvPr id="16" name="Picture 15" descr="TI logo DK farve A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3" y="85415"/>
          <a:ext cx="1295400" cy="60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456407</xdr:colOff>
      <xdr:row>10</xdr:row>
      <xdr:rowOff>138906</xdr:rowOff>
    </xdr:from>
    <xdr:to>
      <xdr:col>17</xdr:col>
      <xdr:colOff>398229</xdr:colOff>
      <xdr:row>12</xdr:row>
      <xdr:rowOff>22888</xdr:rowOff>
    </xdr:to>
    <xdr:sp macro="" textlink="">
      <xdr:nvSpPr>
        <xdr:cNvPr id="18" name="TextBox 1"/>
        <xdr:cNvSpPr txBox="1"/>
      </xdr:nvSpPr>
      <xdr:spPr>
        <a:xfrm>
          <a:off x="14247813" y="2311797"/>
          <a:ext cx="1152291" cy="27093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a-DK" sz="1100"/>
            <a:t>Mellemkreds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0.1042</cdr:x>
      <cdr:y>0.36461</cdr:y>
    </cdr:from>
    <cdr:to>
      <cdr:x>0.37645</cdr:x>
      <cdr:y>0.45179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065" y="1102519"/>
          <a:ext cx="1040107" cy="263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Udsugning</a:t>
          </a:r>
        </a:p>
      </cdr:txBody>
    </cdr:sp>
  </cdr:relSizeAnchor>
  <cdr:relSizeAnchor xmlns:cdr="http://schemas.openxmlformats.org/drawingml/2006/chartDrawing">
    <cdr:from>
      <cdr:x>0.10939</cdr:x>
      <cdr:y>0.53196</cdr:y>
    </cdr:from>
    <cdr:to>
      <cdr:x>0.38165</cdr:x>
      <cdr:y>0.61913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17910" y="1608535"/>
          <a:ext cx="1040107" cy="263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1100"/>
            <a:t>Indblæsning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4</xdr:row>
          <xdr:rowOff>57150</xdr:rowOff>
        </xdr:from>
        <xdr:to>
          <xdr:col>7</xdr:col>
          <xdr:colOff>209550</xdr:colOff>
          <xdr:row>8</xdr:row>
          <xdr:rowOff>152400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R57"/>
  <sheetViews>
    <sheetView tabSelected="1" zoomScale="60" zoomScaleNormal="60" workbookViewId="0">
      <selection activeCell="J17" sqref="J17"/>
    </sheetView>
  </sheetViews>
  <sheetFormatPr defaultRowHeight="15" x14ac:dyDescent="0.25"/>
  <cols>
    <col min="1" max="1" width="20.140625" style="23" customWidth="1"/>
    <col min="2" max="2" width="38" style="23" customWidth="1"/>
    <col min="3" max="3" width="13.42578125" style="23" customWidth="1"/>
    <col min="4" max="4" width="9.140625" style="23"/>
    <col min="5" max="5" width="12" style="23" customWidth="1"/>
    <col min="6" max="6" width="2.7109375" style="23" customWidth="1"/>
    <col min="7" max="7" width="11" style="23" customWidth="1"/>
    <col min="8" max="8" width="18.7109375" style="23" customWidth="1"/>
    <col min="9" max="9" width="20.5703125" style="23" customWidth="1"/>
    <col min="10" max="10" width="10" style="23" customWidth="1"/>
    <col min="11" max="11" width="9.7109375" style="23" customWidth="1"/>
    <col min="12" max="12" width="16.5703125" style="23" customWidth="1"/>
    <col min="13" max="13" width="9.140625" style="23"/>
    <col min="14" max="14" width="23.85546875" style="23" customWidth="1"/>
    <col min="15" max="17" width="9.140625" style="23"/>
    <col min="18" max="18" width="11" style="23" customWidth="1"/>
    <col min="19" max="16384" width="9.140625" style="23"/>
  </cols>
  <sheetData>
    <row r="1" spans="1:16" x14ac:dyDescent="0.25">
      <c r="A1" s="35"/>
    </row>
    <row r="2" spans="1:16" ht="21" x14ac:dyDescent="0.35">
      <c r="A2" s="35" t="s">
        <v>1</v>
      </c>
      <c r="B2" s="34"/>
      <c r="G2" s="77" t="s">
        <v>83</v>
      </c>
      <c r="H2"/>
      <c r="I2"/>
      <c r="J2"/>
    </row>
    <row r="3" spans="1:16" ht="15.75" thickBot="1" x14ac:dyDescent="0.3">
      <c r="A3" s="35" t="str">
        <f>IF(A2="j","n","J")</f>
        <v>n</v>
      </c>
      <c r="B3" s="36"/>
      <c r="D3" s="36"/>
    </row>
    <row r="4" spans="1:16" ht="15.75" thickBot="1" x14ac:dyDescent="0.3">
      <c r="B4" s="75"/>
      <c r="C4" s="130" t="s">
        <v>8</v>
      </c>
      <c r="D4" s="131"/>
      <c r="E4" s="132" t="s">
        <v>2</v>
      </c>
      <c r="L4" s="9"/>
      <c r="M4" s="78"/>
    </row>
    <row r="5" spans="1:16" ht="19.5" thickBot="1" x14ac:dyDescent="0.4">
      <c r="B5" s="106" t="s">
        <v>47</v>
      </c>
      <c r="C5" s="133">
        <f>G7*(273+C8)/(273+20)</f>
        <v>25188.711604095566</v>
      </c>
      <c r="D5" s="134"/>
      <c r="E5" s="135">
        <f>M12*(273+E8)/(273+20)</f>
        <v>28465.212286689417</v>
      </c>
      <c r="G5" s="37"/>
      <c r="H5" s="85" t="s">
        <v>41</v>
      </c>
      <c r="I5" s="86" t="s">
        <v>26</v>
      </c>
      <c r="J5" s="38"/>
      <c r="K5" s="38"/>
      <c r="L5" s="14" t="s">
        <v>42</v>
      </c>
      <c r="M5" s="39"/>
      <c r="N5" s="69"/>
      <c r="O5" s="69"/>
      <c r="P5" s="70"/>
    </row>
    <row r="6" spans="1:16" ht="18.75" thickBot="1" x14ac:dyDescent="0.4">
      <c r="B6" s="90" t="s">
        <v>48</v>
      </c>
      <c r="C6" s="136"/>
      <c r="D6" s="137"/>
      <c r="E6" s="138">
        <f>J17</f>
        <v>0.9083</v>
      </c>
      <c r="F6" s="40"/>
      <c r="G6" s="41"/>
      <c r="H6" s="27">
        <v>23.1</v>
      </c>
      <c r="I6" s="213">
        <v>0.30248999999999998</v>
      </c>
      <c r="J6" s="42">
        <f>C10</f>
        <v>120.11691236396435</v>
      </c>
      <c r="K6" s="43" t="s">
        <v>3</v>
      </c>
      <c r="L6" s="44">
        <f>C26</f>
        <v>10.172662248617492</v>
      </c>
      <c r="M6" s="45"/>
      <c r="N6" s="226" t="s">
        <v>8</v>
      </c>
      <c r="O6" s="227"/>
    </row>
    <row r="7" spans="1:16" x14ac:dyDescent="0.25">
      <c r="B7" s="90" t="s">
        <v>49</v>
      </c>
      <c r="C7" s="139">
        <f>1/(Datablad!D38/(G7/3600*1.2*1000)^0.8+Datablad!D39/Performancetest!C15^0.8)*O7*O8^0.2*((J18-1)*Datablad!J4+1)</f>
        <v>43502.436605691095</v>
      </c>
      <c r="D7" s="140"/>
      <c r="E7" s="141">
        <f>1/(Datablad!F38/Performancetest!E14^0.8+Datablad!F39/Performancetest!E15^0.8)*O12*O13^0.2</f>
        <v>45881.733276453953</v>
      </c>
      <c r="G7" s="113">
        <v>24925</v>
      </c>
      <c r="H7" s="36"/>
      <c r="I7" s="36"/>
      <c r="J7" s="43"/>
      <c r="K7" s="43"/>
      <c r="L7" s="36"/>
      <c r="M7" s="45"/>
      <c r="N7" s="88" t="s">
        <v>45</v>
      </c>
      <c r="O7" s="57">
        <v>1</v>
      </c>
    </row>
    <row r="8" spans="1:16" ht="19.5" thickBot="1" x14ac:dyDescent="0.4">
      <c r="B8" s="90" t="s">
        <v>50</v>
      </c>
      <c r="C8" s="136">
        <f>H6</f>
        <v>23.1</v>
      </c>
      <c r="D8" s="137"/>
      <c r="E8" s="142">
        <f>L11</f>
        <v>5.4</v>
      </c>
      <c r="G8" s="87" t="s">
        <v>97</v>
      </c>
      <c r="H8" s="36"/>
      <c r="I8" s="36"/>
      <c r="J8" s="42">
        <f>C11</f>
        <v>96.853404295779654</v>
      </c>
      <c r="K8" s="43" t="s">
        <v>4</v>
      </c>
      <c r="L8" s="36"/>
      <c r="M8" s="45"/>
      <c r="N8" s="89" t="s">
        <v>46</v>
      </c>
      <c r="O8" s="58">
        <v>1</v>
      </c>
    </row>
    <row r="9" spans="1:16" ht="15.75" thickBot="1" x14ac:dyDescent="0.3">
      <c r="B9" s="90" t="s">
        <v>51</v>
      </c>
      <c r="C9" s="143">
        <f>INT(Datablad!D10*Performancetest!O7)</f>
        <v>18</v>
      </c>
      <c r="D9" s="144"/>
      <c r="E9" s="145">
        <f>INT(Datablad!F10*Performancetest!O12)</f>
        <v>18</v>
      </c>
      <c r="G9" s="41"/>
      <c r="H9" s="36"/>
      <c r="I9" s="71">
        <f>K9+C27*1000/C15</f>
        <v>18.371034522572209</v>
      </c>
      <c r="J9" s="46" t="s">
        <v>7</v>
      </c>
      <c r="K9" s="47">
        <f>H6-C27/C15/C20*1000</f>
        <v>8.6017949397045328</v>
      </c>
      <c r="L9" s="46" t="s">
        <v>7</v>
      </c>
      <c r="M9" s="45"/>
      <c r="O9" s="59"/>
    </row>
    <row r="10" spans="1:16" ht="18.75" thickBot="1" x14ac:dyDescent="0.4">
      <c r="B10" s="91" t="s">
        <v>52</v>
      </c>
      <c r="C10" s="146">
        <f>Datablad!D11*(Performancetest!C5/Datablad!D6)^1.8*$O$7*$O$8^(-1.8)*C31/Datablad!D31</f>
        <v>120.11691236396435</v>
      </c>
      <c r="D10" s="147"/>
      <c r="E10" s="148">
        <f>Datablad!F11*(Performancetest!E5/Datablad!F6)^1.8*$O$12*O13^(-1.8)*E31/Datablad!F31</f>
        <v>192.91163837738324</v>
      </c>
      <c r="G10" s="41"/>
      <c r="H10" s="14" t="s">
        <v>44</v>
      </c>
      <c r="I10" s="36"/>
      <c r="J10" s="43"/>
      <c r="K10" s="43"/>
      <c r="L10" s="85" t="s">
        <v>43</v>
      </c>
      <c r="M10" s="45"/>
      <c r="N10" s="48"/>
      <c r="O10" s="59"/>
    </row>
    <row r="11" spans="1:16" ht="18.75" thickBot="1" x14ac:dyDescent="0.4">
      <c r="B11" s="91" t="s">
        <v>53</v>
      </c>
      <c r="C11" s="149">
        <f>Datablad!D12*(Performancetest!C15/Datablad!D16)^1.9*O7*O8^(-1.9)</f>
        <v>96.853404295779654</v>
      </c>
      <c r="D11" s="144"/>
      <c r="E11" s="148">
        <f>Datablad!F12*(Performancetest!E15/Datablad!F16)^1.9*O12*O13^(-1.9)</f>
        <v>96.853404295779654</v>
      </c>
      <c r="G11" s="41"/>
      <c r="H11" s="44">
        <f>E25</f>
        <v>16.155520844288976</v>
      </c>
      <c r="I11" s="36"/>
      <c r="J11" s="42">
        <f>E11</f>
        <v>96.853404295779654</v>
      </c>
      <c r="K11" s="43" t="s">
        <v>4</v>
      </c>
      <c r="L11" s="27">
        <v>5.4</v>
      </c>
      <c r="M11" s="45"/>
      <c r="N11" s="228" t="s">
        <v>2</v>
      </c>
      <c r="O11" s="229"/>
    </row>
    <row r="12" spans="1:16" x14ac:dyDescent="0.25">
      <c r="B12" s="90"/>
      <c r="C12" s="150"/>
      <c r="D12" s="144"/>
      <c r="E12" s="145"/>
      <c r="G12" s="41"/>
      <c r="H12" s="36"/>
      <c r="I12" s="36"/>
      <c r="J12" s="43"/>
      <c r="K12" s="43"/>
      <c r="L12" s="36"/>
      <c r="M12" s="113">
        <v>29958</v>
      </c>
      <c r="N12" s="88" t="s">
        <v>45</v>
      </c>
      <c r="O12" s="57">
        <v>1</v>
      </c>
    </row>
    <row r="13" spans="1:16" ht="18" thickBot="1" x14ac:dyDescent="0.3">
      <c r="B13" s="90" t="s">
        <v>54</v>
      </c>
      <c r="C13" s="151">
        <f>352/(273+C8)</f>
        <v>1.188787571766295</v>
      </c>
      <c r="D13" s="144"/>
      <c r="E13" s="152">
        <f>352/(273+E8)</f>
        <v>1.264367816091954</v>
      </c>
      <c r="G13" s="79"/>
      <c r="H13" s="80"/>
      <c r="I13" s="49"/>
      <c r="J13" s="50">
        <f>E10</f>
        <v>192.91163837738324</v>
      </c>
      <c r="K13" s="51" t="s">
        <v>3</v>
      </c>
      <c r="L13" s="49"/>
      <c r="M13" s="87" t="s">
        <v>97</v>
      </c>
      <c r="N13" s="89" t="s">
        <v>46</v>
      </c>
      <c r="O13" s="58">
        <v>1</v>
      </c>
    </row>
    <row r="14" spans="1:16" ht="18.75" thickBot="1" x14ac:dyDescent="0.4">
      <c r="B14" s="90" t="s">
        <v>55</v>
      </c>
      <c r="C14" s="153">
        <f>C5/3600*C13*1000*J18</f>
        <v>8317.7853621539634</v>
      </c>
      <c r="D14" s="140"/>
      <c r="E14" s="141">
        <f>E5/3600*E13*1000</f>
        <v>9997.3606370875987</v>
      </c>
      <c r="G14" s="63" t="s">
        <v>80</v>
      </c>
      <c r="H14" s="64"/>
      <c r="I14" s="52">
        <f>E23*100</f>
        <v>60.765654487508328</v>
      </c>
      <c r="J14" s="48"/>
      <c r="K14" s="48"/>
      <c r="L14" s="48"/>
      <c r="M14" s="48"/>
      <c r="N14" s="48"/>
    </row>
    <row r="15" spans="1:16" ht="18.75" thickBot="1" x14ac:dyDescent="0.4">
      <c r="B15" s="90" t="s">
        <v>56</v>
      </c>
      <c r="C15" s="153">
        <f>E15</f>
        <v>11006.672505876471</v>
      </c>
      <c r="D15" s="140"/>
      <c r="E15" s="141">
        <f>E14/E6</f>
        <v>11006.672505876471</v>
      </c>
      <c r="G15" s="81" t="str">
        <f>IF(AVERAGE(L6,K9)&lt;1,"Risiko for tilrimning","Ingen risiko for tilrimning")</f>
        <v>Ingen risiko for tilrimning</v>
      </c>
      <c r="H15" s="53"/>
      <c r="I15" s="54"/>
      <c r="J15" s="48"/>
      <c r="K15" s="48"/>
      <c r="L15" s="48"/>
      <c r="M15" s="48"/>
      <c r="N15" s="48"/>
    </row>
    <row r="16" spans="1:16" ht="18.75" thickBot="1" x14ac:dyDescent="0.4">
      <c r="B16" s="90" t="s">
        <v>57</v>
      </c>
      <c r="C16" s="154">
        <f>C7/C15</f>
        <v>3.9523694906398923</v>
      </c>
      <c r="D16" s="155"/>
      <c r="E16" s="138">
        <f>E7/E15</f>
        <v>4.1685380619762835</v>
      </c>
      <c r="G16" s="37"/>
      <c r="H16" s="38"/>
      <c r="I16" s="38"/>
      <c r="J16" s="36"/>
      <c r="K16" s="48"/>
      <c r="L16" s="48"/>
      <c r="M16" s="48"/>
      <c r="N16" s="48"/>
    </row>
    <row r="17" spans="2:18" ht="18.75" thickBot="1" x14ac:dyDescent="0.4">
      <c r="B17" s="90" t="s">
        <v>58</v>
      </c>
      <c r="C17" s="154">
        <f>C7/C14</f>
        <v>5.2300503934169509</v>
      </c>
      <c r="D17" s="155"/>
      <c r="E17" s="138">
        <f>E7/E14</f>
        <v>4.5893846328044523</v>
      </c>
      <c r="G17" s="62" t="s">
        <v>100</v>
      </c>
      <c r="H17" s="53"/>
      <c r="I17" s="54"/>
      <c r="J17" s="215">
        <v>0.9083</v>
      </c>
      <c r="K17" s="48"/>
      <c r="L17" s="48"/>
      <c r="M17" s="48"/>
      <c r="N17" s="48"/>
    </row>
    <row r="18" spans="2:18" ht="18.75" thickBot="1" x14ac:dyDescent="0.4">
      <c r="B18" s="90" t="s">
        <v>59</v>
      </c>
      <c r="C18" s="154">
        <f>C15/C14</f>
        <v>1.3232695996168622</v>
      </c>
      <c r="D18" s="155"/>
      <c r="E18" s="138">
        <f>E15/E14</f>
        <v>1.1009578333149841</v>
      </c>
      <c r="G18" s="66" t="s">
        <v>34</v>
      </c>
      <c r="H18" s="67"/>
      <c r="I18" s="68"/>
      <c r="J18" s="212">
        <v>1</v>
      </c>
      <c r="K18" s="48"/>
      <c r="L18" s="48"/>
      <c r="M18" s="48"/>
      <c r="N18" s="48"/>
    </row>
    <row r="19" spans="2:18" x14ac:dyDescent="0.25">
      <c r="B19" s="107"/>
      <c r="C19" s="156"/>
      <c r="D19" s="157"/>
      <c r="E19" s="158"/>
      <c r="I19" s="48"/>
      <c r="J19" s="48"/>
      <c r="K19" s="48"/>
      <c r="L19" s="48"/>
      <c r="M19" s="48"/>
      <c r="N19" s="48"/>
    </row>
    <row r="20" spans="2:18" ht="18" x14ac:dyDescent="0.35">
      <c r="B20" s="90" t="s">
        <v>69</v>
      </c>
      <c r="C20" s="151">
        <f>tempvirkgrad(C16,C18,C9)</f>
        <v>0.67382407285861501</v>
      </c>
      <c r="D20" s="159"/>
      <c r="E20" s="152">
        <f>tempvirkgradmedstr(E16,E18,E9)*(A3="j")+tempvirkgrad(E16,E18,E9)*(A2="j")</f>
        <v>0.75315808973195097</v>
      </c>
      <c r="I20" s="48"/>
      <c r="J20" s="48"/>
      <c r="K20" s="48"/>
      <c r="L20" s="48"/>
      <c r="M20" s="48"/>
      <c r="N20" s="48"/>
    </row>
    <row r="21" spans="2:18" ht="18" x14ac:dyDescent="0.35">
      <c r="B21" s="90" t="s">
        <v>70</v>
      </c>
      <c r="C21" s="151">
        <f>C20*C18</f>
        <v>0.89165091110382289</v>
      </c>
      <c r="D21" s="159"/>
      <c r="E21" s="152">
        <f>E20*E18</f>
        <v>0.82919529861494112</v>
      </c>
      <c r="I21" s="48"/>
      <c r="J21" s="48"/>
      <c r="K21" s="48"/>
      <c r="L21" s="48"/>
      <c r="M21" s="48"/>
      <c r="N21" s="48"/>
    </row>
    <row r="22" spans="2:18" ht="15.75" thickBot="1" x14ac:dyDescent="0.3">
      <c r="B22" s="90" t="s">
        <v>71</v>
      </c>
      <c r="C22" s="154">
        <f>(C8-C26)</f>
        <v>12.92733775138251</v>
      </c>
      <c r="D22" s="144"/>
      <c r="E22" s="138">
        <f>E25-E8</f>
        <v>10.755520844288975</v>
      </c>
      <c r="G22" s="48"/>
      <c r="H22" s="48"/>
      <c r="I22" s="48"/>
      <c r="J22" s="48"/>
      <c r="K22" s="48"/>
      <c r="L22" s="48"/>
      <c r="M22" s="48"/>
      <c r="N22" s="48"/>
    </row>
    <row r="23" spans="2:18" ht="18.75" x14ac:dyDescent="0.3">
      <c r="B23" s="108" t="s">
        <v>72</v>
      </c>
      <c r="C23" s="160"/>
      <c r="D23" s="161"/>
      <c r="E23" s="162">
        <f>E21*C21/(E21*E14/C14+C21-E21*C21*E14/E15)</f>
        <v>0.60765654487508325</v>
      </c>
      <c r="G23" s="94" t="s">
        <v>60</v>
      </c>
      <c r="H23" s="5"/>
      <c r="I23" s="5"/>
      <c r="J23" s="5"/>
      <c r="K23" s="5"/>
      <c r="L23" s="5"/>
      <c r="M23" s="5"/>
      <c r="N23" s="5"/>
      <c r="O23" s="5"/>
      <c r="P23" s="5"/>
      <c r="Q23" s="38"/>
      <c r="R23" s="39"/>
    </row>
    <row r="24" spans="2:18" ht="17.25" x14ac:dyDescent="0.25">
      <c r="B24" s="108" t="s">
        <v>73</v>
      </c>
      <c r="C24" s="151">
        <f>E23*(E14/C14)</f>
        <v>0.73035806504985923</v>
      </c>
      <c r="D24" s="144"/>
      <c r="E24" s="145"/>
      <c r="G24" s="95" t="s">
        <v>61</v>
      </c>
      <c r="H24" s="11" t="s">
        <v>98</v>
      </c>
      <c r="I24" s="11"/>
      <c r="J24" s="11"/>
      <c r="K24" s="11"/>
      <c r="L24" s="11"/>
      <c r="M24" s="11"/>
      <c r="N24" s="11"/>
      <c r="O24" s="11"/>
      <c r="P24" s="11"/>
      <c r="Q24" s="36"/>
      <c r="R24" s="45"/>
    </row>
    <row r="25" spans="2:18" ht="18" x14ac:dyDescent="0.35">
      <c r="B25" s="108" t="s">
        <v>74</v>
      </c>
      <c r="C25" s="150"/>
      <c r="D25" s="144"/>
      <c r="E25" s="138">
        <f>E8+E23*(C8-E8)</f>
        <v>16.155520844288976</v>
      </c>
      <c r="F25" s="55"/>
      <c r="G25" s="95" t="s">
        <v>62</v>
      </c>
      <c r="H25" s="11" t="s">
        <v>81</v>
      </c>
      <c r="I25" s="11"/>
      <c r="J25" s="11"/>
      <c r="K25" s="11"/>
      <c r="L25" s="11"/>
      <c r="M25" s="11"/>
      <c r="N25" s="11"/>
      <c r="O25" s="11"/>
      <c r="P25" s="11"/>
      <c r="Q25" s="36"/>
      <c r="R25" s="45"/>
    </row>
    <row r="26" spans="2:18" ht="18.75" thickBot="1" x14ac:dyDescent="0.4">
      <c r="B26" s="108" t="s">
        <v>75</v>
      </c>
      <c r="C26" s="163">
        <f>-(C8-E8)*C24+C8</f>
        <v>10.172662248617492</v>
      </c>
      <c r="D26" s="144"/>
      <c r="E26" s="145"/>
      <c r="G26" s="96" t="s">
        <v>63</v>
      </c>
      <c r="H26" s="9" t="s">
        <v>82</v>
      </c>
      <c r="I26" s="9"/>
      <c r="J26" s="9"/>
      <c r="K26" s="9"/>
      <c r="L26" s="9"/>
      <c r="M26" s="9"/>
      <c r="N26" s="9"/>
      <c r="O26" s="9"/>
      <c r="P26" s="9"/>
      <c r="Q26" s="49"/>
      <c r="R26" s="114"/>
    </row>
    <row r="27" spans="2:18" x14ac:dyDescent="0.25">
      <c r="B27" s="109" t="s">
        <v>76</v>
      </c>
      <c r="C27" s="136">
        <f>C14*(C8-C26)/1000</f>
        <v>107.52682072006976</v>
      </c>
      <c r="D27" s="144"/>
      <c r="E27" s="142">
        <f>E14*(E25-E8)/1000</f>
        <v>107.52682072006978</v>
      </c>
      <c r="G27" s="97"/>
      <c r="H27"/>
      <c r="I27"/>
      <c r="J27" s="98"/>
      <c r="K27" s="98"/>
      <c r="L27" s="97"/>
      <c r="M27" s="97"/>
      <c r="N27" s="97"/>
      <c r="O27"/>
      <c r="P27"/>
    </row>
    <row r="28" spans="2:18" ht="18" thickBot="1" x14ac:dyDescent="0.3">
      <c r="B28" s="110" t="s">
        <v>77</v>
      </c>
      <c r="C28" s="143"/>
      <c r="D28" s="137">
        <f>E15/3600/1050*3600</f>
        <v>10.482545243691877</v>
      </c>
      <c r="E28" s="145"/>
      <c r="G28" s="97"/>
      <c r="H28"/>
      <c r="I28"/>
      <c r="J28" s="97"/>
      <c r="K28" s="97"/>
      <c r="L28" s="97"/>
      <c r="M28" s="97"/>
      <c r="N28" s="97"/>
      <c r="O28"/>
      <c r="P28"/>
    </row>
    <row r="29" spans="2:18" ht="19.5" x14ac:dyDescent="0.35">
      <c r="B29" s="111" t="s">
        <v>78</v>
      </c>
      <c r="C29" s="143"/>
      <c r="D29" s="137">
        <f>K9</f>
        <v>8.6017949397045328</v>
      </c>
      <c r="E29" s="145"/>
      <c r="G29" s="99" t="s">
        <v>64</v>
      </c>
      <c r="H29" s="100"/>
      <c r="I29" s="100"/>
      <c r="J29" s="100"/>
      <c r="K29" s="100"/>
      <c r="L29" s="100"/>
      <c r="M29" s="100"/>
      <c r="N29" s="100"/>
      <c r="O29" s="5"/>
      <c r="P29" s="5"/>
      <c r="Q29" s="38"/>
      <c r="R29" s="39"/>
    </row>
    <row r="30" spans="2:18" ht="18.75" thickBot="1" x14ac:dyDescent="0.4">
      <c r="B30" s="112" t="s">
        <v>79</v>
      </c>
      <c r="C30" s="164"/>
      <c r="D30" s="165">
        <f>I9</f>
        <v>18.371034522572209</v>
      </c>
      <c r="E30" s="166"/>
      <c r="G30" s="101" t="s">
        <v>61</v>
      </c>
      <c r="H30" s="102" t="s">
        <v>65</v>
      </c>
      <c r="I30" s="11"/>
      <c r="J30" s="230" t="s">
        <v>66</v>
      </c>
      <c r="K30" s="230"/>
      <c r="L30" s="230"/>
      <c r="M30" s="230"/>
      <c r="N30" s="230"/>
      <c r="O30" s="230"/>
      <c r="P30" s="230"/>
      <c r="Q30" s="230"/>
      <c r="R30" s="231"/>
    </row>
    <row r="31" spans="2:18" x14ac:dyDescent="0.25">
      <c r="B31" s="82" t="s">
        <v>36</v>
      </c>
      <c r="C31" s="83">
        <f>273+AVERAGE(H6,L6)</f>
        <v>289.63633112430875</v>
      </c>
      <c r="D31" s="82"/>
      <c r="E31" s="83">
        <f>273+AVERAGE(H11,L11)</f>
        <v>283.77776042214447</v>
      </c>
      <c r="G31" s="103"/>
      <c r="H31" s="97"/>
      <c r="I31" s="97"/>
      <c r="J31" s="230"/>
      <c r="K31" s="230"/>
      <c r="L31" s="230"/>
      <c r="M31" s="230"/>
      <c r="N31" s="230"/>
      <c r="O31" s="230"/>
      <c r="P31" s="230"/>
      <c r="Q31" s="230"/>
      <c r="R31" s="231"/>
    </row>
    <row r="32" spans="2:18" x14ac:dyDescent="0.25">
      <c r="B32" s="82" t="s">
        <v>37</v>
      </c>
      <c r="C32" s="84">
        <f>352/C31</f>
        <v>1.2153171483480967</v>
      </c>
      <c r="D32" s="84"/>
      <c r="E32" s="84">
        <f t="shared" ref="E32" si="0">352/E31</f>
        <v>1.2404072802476449</v>
      </c>
      <c r="G32" s="104"/>
      <c r="H32" s="97"/>
      <c r="I32" s="97"/>
      <c r="J32" s="230"/>
      <c r="K32" s="230"/>
      <c r="L32" s="230"/>
      <c r="M32" s="230"/>
      <c r="N32" s="230"/>
      <c r="O32" s="230"/>
      <c r="P32" s="230"/>
      <c r="Q32" s="230"/>
      <c r="R32" s="231"/>
    </row>
    <row r="33" spans="1:18" x14ac:dyDescent="0.25">
      <c r="B33" s="59"/>
      <c r="C33" s="59"/>
      <c r="D33" s="59"/>
      <c r="E33" s="59"/>
      <c r="G33" s="104"/>
      <c r="H33" s="97"/>
      <c r="I33" s="97"/>
      <c r="J33" s="230"/>
      <c r="K33" s="230"/>
      <c r="L33" s="230"/>
      <c r="M33" s="230"/>
      <c r="N33" s="230"/>
      <c r="O33" s="230"/>
      <c r="P33" s="230"/>
      <c r="Q33" s="230"/>
      <c r="R33" s="231"/>
    </row>
    <row r="34" spans="1:18" x14ac:dyDescent="0.25">
      <c r="B34" s="59"/>
      <c r="C34" s="59"/>
      <c r="D34" s="59"/>
      <c r="E34" s="59"/>
      <c r="G34" s="104"/>
      <c r="H34" s="97"/>
      <c r="I34" s="97"/>
      <c r="J34" s="230"/>
      <c r="K34" s="230"/>
      <c r="L34" s="230"/>
      <c r="M34" s="230"/>
      <c r="N34" s="230"/>
      <c r="O34" s="230"/>
      <c r="P34" s="230"/>
      <c r="Q34" s="230"/>
      <c r="R34" s="231"/>
    </row>
    <row r="35" spans="1:18" ht="15" customHeight="1" x14ac:dyDescent="0.25">
      <c r="B35" s="206"/>
      <c r="C35" s="59"/>
      <c r="D35" s="59"/>
      <c r="E35" s="207"/>
      <c r="G35" s="101" t="s">
        <v>62</v>
      </c>
      <c r="H35" s="98" t="s">
        <v>67</v>
      </c>
      <c r="I35" s="97"/>
      <c r="J35" s="232" t="s">
        <v>68</v>
      </c>
      <c r="K35" s="232"/>
      <c r="L35" s="232"/>
      <c r="M35" s="232"/>
      <c r="N35" s="232"/>
      <c r="O35" s="232"/>
      <c r="P35" s="232"/>
      <c r="Q35" s="232"/>
      <c r="R35" s="233"/>
    </row>
    <row r="36" spans="1:18" x14ac:dyDescent="0.25">
      <c r="B36" s="59"/>
      <c r="C36" s="59"/>
      <c r="D36" s="59"/>
      <c r="E36" s="208"/>
      <c r="G36" s="7"/>
      <c r="H36" s="11"/>
      <c r="I36" s="11"/>
      <c r="J36" s="232"/>
      <c r="K36" s="232"/>
      <c r="L36" s="232"/>
      <c r="M36" s="232"/>
      <c r="N36" s="232"/>
      <c r="O36" s="232"/>
      <c r="P36" s="232"/>
      <c r="Q36" s="232"/>
      <c r="R36" s="233"/>
    </row>
    <row r="37" spans="1:18" ht="15.75" thickBot="1" x14ac:dyDescent="0.3">
      <c r="B37" s="59"/>
      <c r="C37" s="59"/>
      <c r="D37" s="59"/>
      <c r="E37" s="59"/>
      <c r="G37" s="8"/>
      <c r="H37" s="9"/>
      <c r="I37" s="9"/>
      <c r="J37" s="234"/>
      <c r="K37" s="234"/>
      <c r="L37" s="234"/>
      <c r="M37" s="234"/>
      <c r="N37" s="234"/>
      <c r="O37" s="234"/>
      <c r="P37" s="234"/>
      <c r="Q37" s="234"/>
      <c r="R37" s="235"/>
    </row>
    <row r="38" spans="1:18" x14ac:dyDescent="0.25">
      <c r="B38" s="59"/>
      <c r="C38" s="209"/>
      <c r="D38" s="59"/>
      <c r="E38" s="59"/>
      <c r="G38" s="11"/>
      <c r="H38" s="11"/>
      <c r="I38" s="11"/>
      <c r="J38" s="105"/>
      <c r="K38" s="105"/>
      <c r="L38" s="105"/>
      <c r="M38" s="105"/>
      <c r="N38" s="105"/>
      <c r="O38" s="105"/>
      <c r="P38" s="105"/>
    </row>
    <row r="39" spans="1:18" x14ac:dyDescent="0.25">
      <c r="B39" s="59"/>
      <c r="C39" s="59"/>
      <c r="D39" s="59"/>
      <c r="E39" s="209"/>
      <c r="H39" s="56"/>
    </row>
    <row r="40" spans="1:18" x14ac:dyDescent="0.25">
      <c r="B40" s="59"/>
      <c r="C40" s="210"/>
      <c r="D40" s="59"/>
      <c r="E40" s="59"/>
      <c r="H40" s="56"/>
    </row>
    <row r="41" spans="1:18" x14ac:dyDescent="0.25">
      <c r="B41" s="59"/>
      <c r="C41" s="59"/>
      <c r="D41" s="59"/>
      <c r="E41" s="59"/>
    </row>
    <row r="42" spans="1:18" x14ac:dyDescent="0.25">
      <c r="B42" s="59"/>
      <c r="C42" s="207"/>
      <c r="D42" s="59"/>
      <c r="E42" s="59"/>
    </row>
    <row r="43" spans="1:18" x14ac:dyDescent="0.25">
      <c r="B43" s="59"/>
      <c r="C43" s="208"/>
      <c r="D43" s="59"/>
      <c r="E43" s="59"/>
    </row>
    <row r="44" spans="1:18" x14ac:dyDescent="0.25">
      <c r="B44" s="59"/>
      <c r="C44" s="209"/>
      <c r="D44" s="59"/>
      <c r="E44" s="59"/>
    </row>
    <row r="45" spans="1:18" x14ac:dyDescent="0.25">
      <c r="B45" s="59"/>
      <c r="C45" s="209"/>
      <c r="D45" s="59"/>
      <c r="E45" s="59"/>
    </row>
    <row r="46" spans="1:18" x14ac:dyDescent="0.25">
      <c r="B46" s="59"/>
      <c r="C46" s="209"/>
      <c r="D46" s="59"/>
      <c r="E46" s="59"/>
    </row>
    <row r="47" spans="1:18" x14ac:dyDescent="0.25">
      <c r="A47" s="220"/>
      <c r="B47" s="222" t="s">
        <v>9</v>
      </c>
      <c r="C47" s="222" t="s">
        <v>10</v>
      </c>
      <c r="D47" s="82"/>
      <c r="E47" s="82"/>
      <c r="F47" s="35"/>
      <c r="G47" s="35"/>
      <c r="H47" s="35"/>
      <c r="I47" s="35"/>
      <c r="J47" s="35"/>
      <c r="K47" s="35"/>
    </row>
    <row r="48" spans="1:18" x14ac:dyDescent="0.25">
      <c r="A48" s="220"/>
      <c r="B48" s="222">
        <f>H6</f>
        <v>23.1</v>
      </c>
      <c r="C48" s="222">
        <f>L6</f>
        <v>10.172662248617492</v>
      </c>
      <c r="D48" s="82"/>
      <c r="E48" s="82"/>
      <c r="F48" s="35"/>
      <c r="G48" s="35"/>
      <c r="H48" s="35"/>
      <c r="I48" s="35">
        <v>1.7617521882665074E-2</v>
      </c>
      <c r="J48" s="35"/>
      <c r="K48" s="35">
        <v>1.7633554208968099E-2</v>
      </c>
    </row>
    <row r="49" spans="1:11" x14ac:dyDescent="0.25">
      <c r="A49" s="220"/>
      <c r="B49" s="222">
        <f>I9</f>
        <v>18.371034522572209</v>
      </c>
      <c r="C49" s="222">
        <f>K9</f>
        <v>8.6017949397045328</v>
      </c>
      <c r="D49" s="82"/>
      <c r="E49" s="82"/>
      <c r="F49" s="35"/>
      <c r="G49" s="35"/>
      <c r="H49" s="35"/>
      <c r="I49" s="35">
        <v>4.6052701648589808E-2</v>
      </c>
      <c r="J49" s="35"/>
      <c r="K49" s="35">
        <v>4.6052701648589808E-2</v>
      </c>
    </row>
    <row r="50" spans="1:11" x14ac:dyDescent="0.25">
      <c r="A50" s="220"/>
      <c r="B50" s="222">
        <f>H11</f>
        <v>16.155520844288976</v>
      </c>
      <c r="C50" s="222">
        <f>L11</f>
        <v>5.4</v>
      </c>
      <c r="D50" s="82"/>
      <c r="E50" s="82"/>
      <c r="F50" s="35"/>
      <c r="G50" s="35"/>
      <c r="H50" s="35"/>
      <c r="I50" s="35"/>
      <c r="J50" s="35"/>
      <c r="K50" s="35"/>
    </row>
    <row r="51" spans="1:11" x14ac:dyDescent="0.25">
      <c r="A51" s="220"/>
      <c r="B51" s="82"/>
      <c r="C51" s="82"/>
      <c r="D51" s="82"/>
      <c r="E51" s="82"/>
      <c r="F51" s="35"/>
      <c r="G51" s="35"/>
      <c r="H51" s="35" t="s">
        <v>27</v>
      </c>
      <c r="I51" s="35">
        <v>9.2600842247945649E-3</v>
      </c>
      <c r="J51" s="35"/>
      <c r="K51" s="35"/>
    </row>
    <row r="52" spans="1:11" x14ac:dyDescent="0.25">
      <c r="A52" s="220"/>
      <c r="B52" s="82" t="s">
        <v>27</v>
      </c>
      <c r="C52" s="223">
        <f>XW(H6,I6)</f>
        <v>5.2819592243228165E-3</v>
      </c>
      <c r="D52" s="82"/>
      <c r="E52" s="82"/>
      <c r="F52" s="35"/>
      <c r="G52" s="35"/>
      <c r="H52" s="35" t="s">
        <v>28</v>
      </c>
      <c r="I52" s="35">
        <v>3.8457887827433772E-3</v>
      </c>
      <c r="J52" s="35" t="s">
        <v>35</v>
      </c>
      <c r="K52" s="35"/>
    </row>
    <row r="53" spans="1:11" x14ac:dyDescent="0.25">
      <c r="A53" s="220"/>
      <c r="B53" s="82" t="s">
        <v>28</v>
      </c>
      <c r="C53" s="223">
        <f>XW(K9,0.9)</f>
        <v>6.4506159968285032E-3</v>
      </c>
      <c r="D53" s="82"/>
      <c r="E53" s="82"/>
      <c r="F53" s="35"/>
      <c r="G53" s="35"/>
      <c r="H53" s="35" t="s">
        <v>29</v>
      </c>
      <c r="I53" s="35">
        <v>2.6702438380683995E-3</v>
      </c>
      <c r="J53" s="35"/>
      <c r="K53" s="35"/>
    </row>
    <row r="54" spans="1:11" x14ac:dyDescent="0.25">
      <c r="A54" s="220"/>
      <c r="B54" s="82" t="s">
        <v>29</v>
      </c>
      <c r="C54" s="224">
        <f>(C52-C53)*C24</f>
        <v>-8.5353789907466684E-4</v>
      </c>
      <c r="D54" s="82"/>
      <c r="E54" s="82"/>
      <c r="F54" s="35"/>
      <c r="G54" s="35"/>
      <c r="H54" s="35" t="s">
        <v>31</v>
      </c>
      <c r="I54" s="35">
        <v>6542.0974032675786</v>
      </c>
      <c r="J54" s="35"/>
      <c r="K54" s="35"/>
    </row>
    <row r="55" spans="1:11" x14ac:dyDescent="0.25">
      <c r="A55" s="220"/>
      <c r="B55" s="82" t="s">
        <v>30</v>
      </c>
      <c r="C55" s="225">
        <f>C54*2450*1000/(H6-L6)</f>
        <v>-161.763225572821</v>
      </c>
      <c r="D55" s="82"/>
      <c r="E55" s="82"/>
      <c r="F55" s="35"/>
      <c r="G55" s="35"/>
      <c r="H55" s="35" t="s">
        <v>30</v>
      </c>
      <c r="I55" s="35">
        <v>340.12881623142079</v>
      </c>
      <c r="J55" s="35"/>
      <c r="K55" s="35"/>
    </row>
    <row r="56" spans="1:11" x14ac:dyDescent="0.25">
      <c r="A56" s="220"/>
      <c r="B56" s="82" t="s">
        <v>33</v>
      </c>
      <c r="C56" s="221">
        <f>MAX(1,1+C55/1000)</f>
        <v>1</v>
      </c>
      <c r="D56" s="82"/>
      <c r="E56" s="82"/>
      <c r="F56" s="35"/>
      <c r="G56" s="35"/>
      <c r="H56" s="35" t="s">
        <v>32</v>
      </c>
      <c r="I56" s="35">
        <v>1.3401288162314209</v>
      </c>
      <c r="J56" s="35"/>
      <c r="K56" s="35"/>
    </row>
    <row r="57" spans="1:11" x14ac:dyDescent="0.25">
      <c r="A57" s="220"/>
      <c r="B57" s="220"/>
      <c r="C57" s="220"/>
    </row>
  </sheetData>
  <sheetProtection algorithmName="SHA-512" hashValue="WafOCDh9rgTViexrBz5eK/zKWWsPQJt0r1G+IxeO8eZKPOkqDOHMDFPiIG9NmN1Mt4pnYUck8Ukoeravp9OqJw==" saltValue="qLPYKrK62ptVBcumVQd9HA==" spinCount="100000" sheet="1" objects="1" scenarios="1"/>
  <mergeCells count="4">
    <mergeCell ref="N6:O6"/>
    <mergeCell ref="N11:O11"/>
    <mergeCell ref="J30:R34"/>
    <mergeCell ref="J35:R37"/>
  </mergeCells>
  <pageMargins left="0.7" right="0.7" top="0.75" bottom="0.75" header="0.3" footer="0.3"/>
  <pageSetup paperSize="9" scale="92" orientation="landscape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1</xdr:col>
                <xdr:colOff>123825</xdr:colOff>
                <xdr:row>41</xdr:row>
                <xdr:rowOff>38100</xdr:rowOff>
              </from>
              <to>
                <xdr:col>2</xdr:col>
                <xdr:colOff>381000</xdr:colOff>
                <xdr:row>45</xdr:row>
                <xdr:rowOff>133350</xdr:rowOff>
              </to>
            </anchor>
          </objectPr>
        </oleObject>
      </mc:Choice>
      <mc:Fallback>
        <oleObject progId="Equation.3" shapeId="102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Button 2">
              <controlPr defaultSize="0" print="0" autoFill="0" autoPict="0" macro="[0]!drift">
                <anchor moveWithCells="1" sizeWithCells="1">
                  <from>
                    <xdr:col>10</xdr:col>
                    <xdr:colOff>457200</xdr:colOff>
                    <xdr:row>16</xdr:row>
                    <xdr:rowOff>180975</xdr:rowOff>
                  </from>
                  <to>
                    <xdr:col>12</xdr:col>
                    <xdr:colOff>266700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B2:AC58"/>
  <sheetViews>
    <sheetView zoomScale="69" zoomScaleNormal="69" workbookViewId="0">
      <selection activeCell="I11" sqref="I11"/>
    </sheetView>
  </sheetViews>
  <sheetFormatPr defaultRowHeight="15" x14ac:dyDescent="0.25"/>
  <cols>
    <col min="1" max="1" width="17.7109375" customWidth="1"/>
    <col min="2" max="2" width="23" customWidth="1"/>
    <col min="3" max="3" width="39" customWidth="1"/>
    <col min="4" max="4" width="21.28515625" customWidth="1"/>
    <col min="5" max="5" width="14" customWidth="1"/>
    <col min="6" max="6" width="13" customWidth="1"/>
    <col min="7" max="7" width="2.85546875" customWidth="1"/>
    <col min="8" max="8" width="10.42578125" customWidth="1"/>
    <col min="9" max="9" width="16.42578125" customWidth="1"/>
    <col min="10" max="10" width="12" customWidth="1"/>
    <col min="13" max="13" width="16.28515625" customWidth="1"/>
    <col min="14" max="14" width="10" bestFit="1" customWidth="1"/>
    <col min="17" max="17" width="11.5703125" customWidth="1"/>
    <col min="20" max="20" width="20.85546875" customWidth="1"/>
  </cols>
  <sheetData>
    <row r="2" spans="2:29" ht="18.75" x14ac:dyDescent="0.3">
      <c r="B2" s="12" t="s">
        <v>1</v>
      </c>
      <c r="C2" s="33"/>
    </row>
    <row r="3" spans="2:29" ht="21" x14ac:dyDescent="0.35">
      <c r="B3" s="12" t="str">
        <f>IF(B2="j","n","J")</f>
        <v>n</v>
      </c>
      <c r="C3" s="34"/>
      <c r="D3" s="23"/>
      <c r="E3" s="23"/>
      <c r="F3" s="23"/>
      <c r="H3" s="77" t="s">
        <v>40</v>
      </c>
      <c r="Y3" s="35" t="s">
        <v>0</v>
      </c>
      <c r="Z3" s="12"/>
      <c r="AA3" s="12"/>
      <c r="AB3" s="12"/>
      <c r="AC3" s="12"/>
    </row>
    <row r="4" spans="2:29" ht="19.5" thickBot="1" x14ac:dyDescent="0.35">
      <c r="B4" s="12"/>
      <c r="C4" s="34"/>
      <c r="D4" s="23"/>
      <c r="E4" s="23"/>
      <c r="F4" s="23"/>
      <c r="H4" s="9"/>
      <c r="I4" s="9"/>
      <c r="J4" s="115">
        <v>0.4</v>
      </c>
      <c r="L4" s="9"/>
      <c r="M4" s="78"/>
      <c r="Y4" s="12"/>
      <c r="Z4" s="12" t="s">
        <v>12</v>
      </c>
      <c r="AA4" s="12" t="s">
        <v>11</v>
      </c>
      <c r="AB4" s="12"/>
      <c r="AC4" s="12"/>
    </row>
    <row r="5" spans="2:29" ht="18.75" thickBot="1" x14ac:dyDescent="0.4">
      <c r="C5" s="32"/>
      <c r="D5" s="128" t="s">
        <v>8</v>
      </c>
      <c r="E5" s="76"/>
      <c r="F5" s="129" t="s">
        <v>2</v>
      </c>
      <c r="H5" s="60"/>
      <c r="I5" s="85" t="s">
        <v>41</v>
      </c>
      <c r="J5" s="86" t="s">
        <v>26</v>
      </c>
      <c r="K5" s="5"/>
      <c r="L5" s="5"/>
      <c r="M5" s="14" t="s">
        <v>42</v>
      </c>
      <c r="N5" s="6"/>
      <c r="Y5" s="12"/>
      <c r="Z5" s="116">
        <f>I6</f>
        <v>25</v>
      </c>
      <c r="AA5" s="116">
        <f>M6</f>
        <v>3.4018815643692157</v>
      </c>
      <c r="AB5" s="12"/>
      <c r="AC5" s="12"/>
    </row>
    <row r="6" spans="2:29" ht="18" thickBot="1" x14ac:dyDescent="0.3">
      <c r="C6" s="106" t="s">
        <v>47</v>
      </c>
      <c r="D6" s="186">
        <f>H7*(273+D9)/(273+20)</f>
        <v>25410.348122866893</v>
      </c>
      <c r="E6" s="182"/>
      <c r="F6" s="183">
        <f>N12*(273+F9)/(273+20)</f>
        <v>22255.372013651879</v>
      </c>
      <c r="H6" s="61"/>
      <c r="I6" s="27">
        <v>25</v>
      </c>
      <c r="J6" s="213">
        <v>0.4</v>
      </c>
      <c r="K6" s="28">
        <v>121</v>
      </c>
      <c r="L6" s="31" t="s">
        <v>3</v>
      </c>
      <c r="M6" s="18">
        <f>D27</f>
        <v>3.4018815643692157</v>
      </c>
      <c r="N6" s="15"/>
      <c r="Y6" s="12"/>
      <c r="Z6" s="116">
        <f>J9</f>
        <v>18.297981171043499</v>
      </c>
      <c r="AA6" s="116">
        <f>L9</f>
        <v>-0.52255230370731098</v>
      </c>
      <c r="AB6" s="12"/>
      <c r="AC6" s="12"/>
    </row>
    <row r="7" spans="2:29" ht="18" x14ac:dyDescent="0.35">
      <c r="C7" s="90" t="s">
        <v>48</v>
      </c>
      <c r="D7" s="187"/>
      <c r="E7" s="169"/>
      <c r="F7" s="170">
        <f>K21</f>
        <v>0.67669999999999997</v>
      </c>
      <c r="H7" s="113">
        <v>24984</v>
      </c>
      <c r="I7" s="11"/>
      <c r="J7" s="11"/>
      <c r="K7" s="11"/>
      <c r="L7" s="31"/>
      <c r="M7" s="11"/>
      <c r="N7" s="15"/>
      <c r="Y7" s="12"/>
      <c r="Z7" s="116">
        <f>I11</f>
        <v>15.812226207700331</v>
      </c>
      <c r="AA7" s="116">
        <f>M11</f>
        <v>-12</v>
      </c>
      <c r="AB7" s="12"/>
      <c r="AC7" s="12"/>
    </row>
    <row r="8" spans="2:29" ht="18" thickBot="1" x14ac:dyDescent="0.3">
      <c r="C8" s="90" t="s">
        <v>49</v>
      </c>
      <c r="D8" s="186">
        <f>K19*((K22-1)*J4+1)</f>
        <v>51293.960367281426</v>
      </c>
      <c r="E8" s="182"/>
      <c r="F8" s="183">
        <f>K20</f>
        <v>46000</v>
      </c>
      <c r="H8" s="87" t="s">
        <v>97</v>
      </c>
      <c r="I8" s="11"/>
      <c r="J8" s="11"/>
      <c r="K8" s="28">
        <v>120</v>
      </c>
      <c r="L8" s="31" t="s">
        <v>4</v>
      </c>
      <c r="M8" s="11"/>
      <c r="N8" s="15"/>
    </row>
    <row r="9" spans="2:29" ht="18.75" thickBot="1" x14ac:dyDescent="0.4">
      <c r="C9" s="90" t="s">
        <v>50</v>
      </c>
      <c r="D9" s="188">
        <f>I6</f>
        <v>25</v>
      </c>
      <c r="E9" s="167"/>
      <c r="F9" s="171">
        <f>M11</f>
        <v>-12</v>
      </c>
      <c r="G9" s="3"/>
      <c r="H9" s="4"/>
      <c r="I9" s="11"/>
      <c r="J9" s="1">
        <f>L9+D28*1000/D16</f>
        <v>18.297981171043499</v>
      </c>
      <c r="K9" s="30" t="s">
        <v>6</v>
      </c>
      <c r="L9" s="16">
        <f>D9-D28/D16*1000/D21</f>
        <v>-0.52255230370731098</v>
      </c>
      <c r="M9" s="17" t="s">
        <v>5</v>
      </c>
      <c r="N9" s="15"/>
    </row>
    <row r="10" spans="2:29" ht="18" x14ac:dyDescent="0.35">
      <c r="C10" s="90" t="s">
        <v>51</v>
      </c>
      <c r="D10" s="189">
        <f>K17</f>
        <v>18</v>
      </c>
      <c r="E10" s="167"/>
      <c r="F10" s="168">
        <f>K17</f>
        <v>18</v>
      </c>
      <c r="H10" s="7"/>
      <c r="I10" s="14" t="s">
        <v>44</v>
      </c>
      <c r="J10" s="36"/>
      <c r="K10" s="43"/>
      <c r="L10" s="43"/>
      <c r="M10" s="85" t="s">
        <v>43</v>
      </c>
      <c r="N10" s="15"/>
    </row>
    <row r="11" spans="2:29" ht="18.75" thickBot="1" x14ac:dyDescent="0.4">
      <c r="C11" s="91" t="s">
        <v>52</v>
      </c>
      <c r="D11" s="189">
        <f>K6</f>
        <v>121</v>
      </c>
      <c r="E11" s="167"/>
      <c r="F11" s="172">
        <f>K13</f>
        <v>120</v>
      </c>
      <c r="H11" s="7"/>
      <c r="I11" s="18">
        <f>F26</f>
        <v>15.812226207700331</v>
      </c>
      <c r="J11" s="11"/>
      <c r="K11" s="28">
        <v>120</v>
      </c>
      <c r="L11" s="31" t="s">
        <v>4</v>
      </c>
      <c r="M11" s="27">
        <v>-12</v>
      </c>
      <c r="N11" s="15"/>
    </row>
    <row r="12" spans="2:29" ht="18" x14ac:dyDescent="0.35">
      <c r="C12" s="91" t="s">
        <v>53</v>
      </c>
      <c r="D12" s="189">
        <f>K8</f>
        <v>120</v>
      </c>
      <c r="E12" s="167"/>
      <c r="F12" s="172">
        <f>K11</f>
        <v>120</v>
      </c>
      <c r="H12" s="7"/>
      <c r="I12" s="11"/>
      <c r="J12" s="11"/>
      <c r="K12" s="11"/>
      <c r="L12" s="31"/>
      <c r="M12" s="11"/>
      <c r="N12" s="113">
        <v>24984</v>
      </c>
    </row>
    <row r="13" spans="2:29" ht="18" thickBot="1" x14ac:dyDescent="0.3">
      <c r="C13" s="197" t="s">
        <v>20</v>
      </c>
      <c r="D13" s="190">
        <f>D6*D14/3600</f>
        <v>8.3374744027303755</v>
      </c>
      <c r="E13" s="178"/>
      <c r="F13" s="180">
        <f>F6*F14/3600</f>
        <v>8.3374744027303773</v>
      </c>
      <c r="H13" s="8"/>
      <c r="I13" s="78"/>
      <c r="J13" s="9"/>
      <c r="K13" s="29">
        <v>120</v>
      </c>
      <c r="L13" s="31" t="s">
        <v>3</v>
      </c>
      <c r="M13" s="11"/>
      <c r="N13" s="87" t="s">
        <v>97</v>
      </c>
    </row>
    <row r="14" spans="2:29" ht="18" thickBot="1" x14ac:dyDescent="0.3">
      <c r="C14" s="90" t="s">
        <v>54</v>
      </c>
      <c r="D14" s="191">
        <f>352/(273+D9)</f>
        <v>1.1812080536912752</v>
      </c>
      <c r="E14" s="167"/>
      <c r="F14" s="170">
        <f>352/(273+F9)</f>
        <v>1.3486590038314177</v>
      </c>
      <c r="H14" s="25" t="s">
        <v>87</v>
      </c>
      <c r="I14" s="26"/>
      <c r="J14" s="26"/>
      <c r="K14" s="126">
        <f>(I11-M11)/(I6-M11)*100</f>
        <v>75.168178939730623</v>
      </c>
      <c r="L14" s="74"/>
      <c r="M14" s="73"/>
      <c r="N14" s="72"/>
    </row>
    <row r="15" spans="2:29" ht="19.5" thickBot="1" x14ac:dyDescent="0.4">
      <c r="C15" s="90" t="s">
        <v>55</v>
      </c>
      <c r="D15" s="186">
        <f>D6/3600*D14*1000*K22</f>
        <v>10736.292829430264</v>
      </c>
      <c r="E15" s="182"/>
      <c r="F15" s="183">
        <f>F6/3600*F14*1000</f>
        <v>8337.474402730375</v>
      </c>
      <c r="H15" s="25" t="s">
        <v>88</v>
      </c>
      <c r="I15" s="26"/>
      <c r="J15" s="26"/>
      <c r="K15" s="127">
        <f>E29</f>
        <v>11.734079816941284</v>
      </c>
    </row>
    <row r="16" spans="2:29" ht="18.75" thickBot="1" x14ac:dyDescent="0.4">
      <c r="C16" s="90" t="s">
        <v>56</v>
      </c>
      <c r="D16" s="186">
        <f>F16</f>
        <v>12320.783807788348</v>
      </c>
      <c r="E16" s="182"/>
      <c r="F16" s="183">
        <f>F15/F7</f>
        <v>12320.783807788348</v>
      </c>
      <c r="H16" s="25" t="s">
        <v>94</v>
      </c>
      <c r="I16" s="65"/>
      <c r="J16" s="65"/>
      <c r="K16" s="123"/>
    </row>
    <row r="17" spans="3:17" ht="18" x14ac:dyDescent="0.35">
      <c r="C17" s="90" t="s">
        <v>57</v>
      </c>
      <c r="D17" s="192">
        <f>D8/D16</f>
        <v>4.1632059426979744</v>
      </c>
      <c r="E17" s="175"/>
      <c r="F17" s="176">
        <f>F8/F16</f>
        <v>3.7335287038249936</v>
      </c>
      <c r="H17" s="124" t="s">
        <v>89</v>
      </c>
      <c r="I17" s="21"/>
      <c r="J17" s="19"/>
      <c r="K17" s="125">
        <v>18</v>
      </c>
    </row>
    <row r="18" spans="3:17" ht="18" x14ac:dyDescent="0.35">
      <c r="C18" s="90" t="s">
        <v>58</v>
      </c>
      <c r="D18" s="192">
        <f>D8/D15</f>
        <v>4.7776230755065399</v>
      </c>
      <c r="E18" s="175"/>
      <c r="F18" s="176">
        <f>F8/F15</f>
        <v>5.5172583180508257</v>
      </c>
      <c r="H18" s="13" t="s">
        <v>90</v>
      </c>
      <c r="I18" s="22"/>
      <c r="J18" s="20"/>
      <c r="K18" s="24">
        <v>18</v>
      </c>
    </row>
    <row r="19" spans="3:17" ht="18" x14ac:dyDescent="0.35">
      <c r="C19" s="90" t="s">
        <v>59</v>
      </c>
      <c r="D19" s="192">
        <f>D16/D15</f>
        <v>1.147582690182843</v>
      </c>
      <c r="E19" s="175">
        <f>AVERAGE(D19,F19)</f>
        <v>1.3126712032264889</v>
      </c>
      <c r="F19" s="176">
        <f>F16/F15</f>
        <v>1.4777597162701346</v>
      </c>
      <c r="H19" s="13" t="s">
        <v>91</v>
      </c>
      <c r="I19" s="22"/>
      <c r="J19" s="20"/>
      <c r="K19" s="118">
        <v>46000</v>
      </c>
    </row>
    <row r="20" spans="3:17" ht="18" x14ac:dyDescent="0.35">
      <c r="C20" s="198"/>
      <c r="D20" s="193"/>
      <c r="E20" s="173"/>
      <c r="F20" s="158"/>
      <c r="H20" s="13" t="s">
        <v>92</v>
      </c>
      <c r="I20" s="22"/>
      <c r="J20" s="20"/>
      <c r="K20" s="118">
        <v>46000</v>
      </c>
    </row>
    <row r="21" spans="3:17" ht="18" x14ac:dyDescent="0.35">
      <c r="C21" s="90" t="s">
        <v>69</v>
      </c>
      <c r="D21" s="191">
        <f>tempvirkgrad(D17,D19,D10)</f>
        <v>0.73740796965736888</v>
      </c>
      <c r="E21" s="174"/>
      <c r="F21" s="170">
        <f>tempvirkgradmedstr(F17,F19,F10)*(B3="j")+tempvirkgrad(F17,F19,F10)*(B2="j")</f>
        <v>0.62118110670482685</v>
      </c>
      <c r="H21" s="120" t="s">
        <v>93</v>
      </c>
      <c r="I21" s="121"/>
      <c r="J21" s="122"/>
      <c r="K21" s="214">
        <v>0.67669999999999997</v>
      </c>
    </row>
    <row r="22" spans="3:17" ht="18.75" thickBot="1" x14ac:dyDescent="0.4">
      <c r="C22" s="90" t="s">
        <v>70</v>
      </c>
      <c r="D22" s="191">
        <f>D21*D19</f>
        <v>0.84623662158167168</v>
      </c>
      <c r="E22" s="174"/>
      <c r="F22" s="170">
        <f>F21*F19</f>
        <v>0.91795641599649314</v>
      </c>
      <c r="H22" s="119" t="s">
        <v>96</v>
      </c>
      <c r="I22" s="9"/>
      <c r="J22" s="10"/>
      <c r="K22" s="200">
        <v>1.2877152373522511</v>
      </c>
    </row>
    <row r="23" spans="3:17" x14ac:dyDescent="0.25">
      <c r="C23" s="90" t="s">
        <v>71</v>
      </c>
      <c r="D23" s="192">
        <f>(D9-D27)</f>
        <v>21.598118435630784</v>
      </c>
      <c r="E23" s="167"/>
      <c r="F23" s="176">
        <f>F26-F9</f>
        <v>27.812226207700331</v>
      </c>
    </row>
    <row r="24" spans="3:17" ht="15.75" thickBot="1" x14ac:dyDescent="0.3">
      <c r="C24" s="108" t="s">
        <v>72</v>
      </c>
      <c r="D24" s="194"/>
      <c r="E24" s="177"/>
      <c r="F24" s="162">
        <f>F22*D22/(F22*F15/D15+D22-F22*D22*F15/F16)</f>
        <v>0.75168178939730623</v>
      </c>
    </row>
    <row r="25" spans="3:17" ht="18.75" x14ac:dyDescent="0.3">
      <c r="C25" s="108" t="s">
        <v>73</v>
      </c>
      <c r="D25" s="195">
        <f>F24*(F15/D15)</f>
        <v>0.58373293069272392</v>
      </c>
      <c r="E25" s="144"/>
      <c r="F25" s="145"/>
      <c r="I25" s="94" t="s">
        <v>60</v>
      </c>
      <c r="J25" s="5"/>
      <c r="K25" s="5"/>
      <c r="L25" s="5"/>
      <c r="M25" s="5"/>
      <c r="N25" s="5"/>
      <c r="O25" s="5"/>
      <c r="P25" s="5"/>
      <c r="Q25" s="6"/>
    </row>
    <row r="26" spans="3:17" ht="18" x14ac:dyDescent="0.35">
      <c r="C26" s="108" t="s">
        <v>74</v>
      </c>
      <c r="D26" s="143"/>
      <c r="E26" s="144"/>
      <c r="F26" s="138">
        <f>F9+F24*(D9-F9)</f>
        <v>15.812226207700331</v>
      </c>
      <c r="I26" s="95" t="s">
        <v>61</v>
      </c>
      <c r="J26" s="11" t="s">
        <v>84</v>
      </c>
      <c r="K26" s="11"/>
      <c r="L26" s="11"/>
      <c r="M26" s="11"/>
      <c r="N26" s="11"/>
      <c r="O26" s="11"/>
      <c r="P26" s="11"/>
      <c r="Q26" s="15"/>
    </row>
    <row r="27" spans="3:17" ht="18.75" x14ac:dyDescent="0.35">
      <c r="C27" s="108" t="s">
        <v>75</v>
      </c>
      <c r="D27" s="163">
        <f>-(D9-F9)*D25+D9</f>
        <v>3.4018815643692157</v>
      </c>
      <c r="E27" s="144"/>
      <c r="F27" s="145"/>
      <c r="I27" s="95" t="s">
        <v>62</v>
      </c>
      <c r="J27" s="11" t="s">
        <v>99</v>
      </c>
      <c r="K27" s="11"/>
      <c r="L27" s="11"/>
      <c r="M27" s="11"/>
      <c r="N27" s="11"/>
      <c r="O27" s="11"/>
      <c r="P27" s="11"/>
      <c r="Q27" s="15"/>
    </row>
    <row r="28" spans="3:17" x14ac:dyDescent="0.25">
      <c r="C28" s="109" t="s">
        <v>76</v>
      </c>
      <c r="D28" s="136">
        <f>D15*(D9-D27)/1000</f>
        <v>231.88372408964838</v>
      </c>
      <c r="E28" s="144"/>
      <c r="F28" s="142">
        <f>F15*(F26-F9)/1000</f>
        <v>231.88372408964841</v>
      </c>
      <c r="I28" s="95" t="s">
        <v>63</v>
      </c>
      <c r="J28" s="11" t="s">
        <v>85</v>
      </c>
      <c r="K28" s="11"/>
      <c r="L28" s="11"/>
      <c r="M28" s="11"/>
      <c r="N28" s="11"/>
      <c r="O28" s="11"/>
      <c r="P28" s="11"/>
      <c r="Q28" s="15"/>
    </row>
    <row r="29" spans="3:17" ht="15.75" customHeight="1" thickBot="1" x14ac:dyDescent="0.3">
      <c r="C29" s="181" t="s">
        <v>77</v>
      </c>
      <c r="D29" s="196"/>
      <c r="E29" s="184">
        <f>F16/3600/1050*3600</f>
        <v>11.734079816941284</v>
      </c>
      <c r="F29" s="185"/>
      <c r="G29" s="2"/>
      <c r="I29" s="117" t="s">
        <v>86</v>
      </c>
      <c r="J29" s="236" t="s">
        <v>95</v>
      </c>
      <c r="K29" s="236"/>
      <c r="L29" s="236"/>
      <c r="M29" s="236"/>
      <c r="N29" s="236"/>
      <c r="O29" s="236"/>
      <c r="P29" s="236"/>
      <c r="Q29" s="237"/>
    </row>
    <row r="30" spans="3:17" x14ac:dyDescent="0.25">
      <c r="C30" s="201" t="s">
        <v>21</v>
      </c>
      <c r="D30" s="202">
        <f>5000*1.225/3600</f>
        <v>1.7013888888888888</v>
      </c>
      <c r="E30" s="203"/>
      <c r="F30" s="202">
        <f>5000*1.225/3600</f>
        <v>1.7013888888888888</v>
      </c>
      <c r="I30" s="7"/>
      <c r="J30" s="236"/>
      <c r="K30" s="236"/>
      <c r="L30" s="236"/>
      <c r="M30" s="236"/>
      <c r="N30" s="236"/>
      <c r="O30" s="236"/>
      <c r="P30" s="236"/>
      <c r="Q30" s="237"/>
    </row>
    <row r="31" spans="3:17" x14ac:dyDescent="0.25">
      <c r="C31" s="201" t="s">
        <v>38</v>
      </c>
      <c r="D31" s="204">
        <f>AVERAGE(I6,M6)+273</f>
        <v>287.2009407821846</v>
      </c>
      <c r="E31" s="203"/>
      <c r="F31" s="204">
        <f>AVERAGE(I11,M11)+273</f>
        <v>274.90611310385015</v>
      </c>
      <c r="I31" s="7"/>
      <c r="J31" s="236"/>
      <c r="K31" s="236"/>
      <c r="L31" s="236"/>
      <c r="M31" s="236"/>
      <c r="N31" s="236"/>
      <c r="O31" s="236"/>
      <c r="P31" s="236"/>
      <c r="Q31" s="237"/>
    </row>
    <row r="32" spans="3:17" ht="15.75" thickBot="1" x14ac:dyDescent="0.3">
      <c r="C32" s="201" t="s">
        <v>39</v>
      </c>
      <c r="D32" s="205">
        <f>352/D31</f>
        <v>1.2256227261698265</v>
      </c>
      <c r="E32" s="205"/>
      <c r="F32" s="205">
        <f t="shared" ref="F32" si="0">352/F31</f>
        <v>1.2804371500717644</v>
      </c>
      <c r="I32" s="8"/>
      <c r="J32" s="238"/>
      <c r="K32" s="238"/>
      <c r="L32" s="238"/>
      <c r="M32" s="238"/>
      <c r="N32" s="238"/>
      <c r="O32" s="238"/>
      <c r="P32" s="238"/>
      <c r="Q32" s="239"/>
    </row>
    <row r="33" spans="3:17" x14ac:dyDescent="0.25">
      <c r="C33" s="82"/>
      <c r="D33" s="82"/>
      <c r="E33" s="82"/>
      <c r="F33" s="82"/>
      <c r="H33" s="3"/>
      <c r="I33" s="11"/>
      <c r="J33" s="199"/>
      <c r="K33" s="199"/>
      <c r="L33" s="199"/>
      <c r="M33" s="199"/>
      <c r="N33" s="199"/>
      <c r="O33" s="199"/>
      <c r="P33" s="199"/>
      <c r="Q33" s="199"/>
    </row>
    <row r="34" spans="3:17" x14ac:dyDescent="0.25">
      <c r="C34" s="82"/>
      <c r="D34" s="82"/>
      <c r="E34" s="82"/>
      <c r="F34" s="82"/>
    </row>
    <row r="35" spans="3:17" x14ac:dyDescent="0.25">
      <c r="C35" s="82"/>
      <c r="D35" s="82"/>
      <c r="E35" s="82"/>
      <c r="F35" s="82"/>
    </row>
    <row r="36" spans="3:17" x14ac:dyDescent="0.25">
      <c r="C36" s="216"/>
      <c r="D36" s="216"/>
      <c r="E36" s="216"/>
      <c r="F36" s="216"/>
      <c r="G36" s="217"/>
      <c r="H36" s="217"/>
    </row>
    <row r="37" spans="3:17" x14ac:dyDescent="0.25">
      <c r="C37" s="218"/>
      <c r="D37" s="216"/>
      <c r="E37" s="216"/>
      <c r="F37" s="219"/>
      <c r="G37" s="217"/>
      <c r="H37" s="217"/>
    </row>
    <row r="38" spans="3:17" x14ac:dyDescent="0.25">
      <c r="C38" s="82"/>
      <c r="D38" s="82">
        <f>1/K19*(H7/3600*1.2*1000)^0.8*$J$4</f>
        <v>1.1905146193509139E-2</v>
      </c>
      <c r="E38" s="82"/>
      <c r="F38" s="82">
        <f>1/F8*F15^0.8*$J$4</f>
        <v>1.191598013427168E-2</v>
      </c>
      <c r="G38" s="217"/>
      <c r="H38" s="217"/>
    </row>
    <row r="39" spans="3:17" x14ac:dyDescent="0.25">
      <c r="C39" s="82"/>
      <c r="D39" s="82">
        <f>1/K19*D16^0.8*(1-$J$4)</f>
        <v>2.4428909936610888E-2</v>
      </c>
      <c r="E39" s="82"/>
      <c r="F39" s="82">
        <f>1/F8*F16^0.8*(1-$J$4)</f>
        <v>2.4428909936610888E-2</v>
      </c>
      <c r="G39" s="217"/>
      <c r="H39" s="217"/>
    </row>
    <row r="40" spans="3:17" x14ac:dyDescent="0.25">
      <c r="C40" s="82"/>
      <c r="D40" s="82"/>
      <c r="E40" s="82"/>
      <c r="F40" s="82"/>
      <c r="G40" s="217"/>
      <c r="H40" s="217"/>
    </row>
    <row r="41" spans="3:17" x14ac:dyDescent="0.25">
      <c r="C41" s="82" t="s">
        <v>27</v>
      </c>
      <c r="D41" s="82">
        <f>XW(I6,J6)</f>
        <v>7.8325306087943282E-3</v>
      </c>
      <c r="E41" s="82"/>
      <c r="F41" s="82"/>
      <c r="G41" s="217"/>
      <c r="H41" s="217"/>
    </row>
    <row r="42" spans="3:17" x14ac:dyDescent="0.25">
      <c r="C42" s="82" t="s">
        <v>28</v>
      </c>
      <c r="D42" s="82">
        <f>XW(L9,0.9)</f>
        <v>3.4874433508215678E-3</v>
      </c>
      <c r="E42" s="82" t="s">
        <v>35</v>
      </c>
      <c r="F42" s="82"/>
      <c r="G42" s="217"/>
      <c r="H42" s="217"/>
    </row>
    <row r="43" spans="3:17" x14ac:dyDescent="0.25">
      <c r="C43" s="82" t="s">
        <v>29</v>
      </c>
      <c r="D43" s="82">
        <f>(D41-D42)*D25</f>
        <v>2.536370519212051E-3</v>
      </c>
      <c r="E43" s="82"/>
      <c r="F43" s="82"/>
      <c r="G43" s="217"/>
      <c r="H43" s="217"/>
    </row>
    <row r="44" spans="3:17" x14ac:dyDescent="0.25">
      <c r="C44" s="82" t="s">
        <v>31</v>
      </c>
      <c r="D44" s="82">
        <f>D43*2450000</f>
        <v>6214.1077720695248</v>
      </c>
      <c r="E44" s="82"/>
      <c r="F44" s="82"/>
      <c r="G44" s="217"/>
      <c r="H44" s="217"/>
    </row>
    <row r="45" spans="3:17" x14ac:dyDescent="0.25">
      <c r="C45" s="82" t="s">
        <v>30</v>
      </c>
      <c r="D45" s="83">
        <f>D44/(I6-M6)</f>
        <v>287.71523735225031</v>
      </c>
      <c r="E45" s="82"/>
      <c r="F45" s="82"/>
      <c r="G45" s="217"/>
      <c r="H45" s="217"/>
    </row>
    <row r="46" spans="3:17" x14ac:dyDescent="0.25">
      <c r="C46" s="82" t="s">
        <v>32</v>
      </c>
      <c r="D46" s="221">
        <f>MAX((1000+D45)/1000,1)</f>
        <v>1.2877152373522505</v>
      </c>
      <c r="E46" s="82"/>
      <c r="F46" s="82"/>
      <c r="G46" s="217"/>
      <c r="H46" s="217"/>
    </row>
    <row r="47" spans="3:17" x14ac:dyDescent="0.25">
      <c r="C47" s="217"/>
      <c r="D47" s="217"/>
      <c r="E47" s="217"/>
      <c r="F47" s="217"/>
      <c r="G47" s="217"/>
      <c r="H47" s="217"/>
    </row>
    <row r="48" spans="3:17" x14ac:dyDescent="0.25">
      <c r="C48" s="217"/>
      <c r="D48" s="217"/>
      <c r="E48" s="217"/>
      <c r="F48" s="217"/>
      <c r="G48" s="217"/>
      <c r="H48" s="217"/>
    </row>
    <row r="58" spans="9:10" x14ac:dyDescent="0.25">
      <c r="I58" t="s">
        <v>10</v>
      </c>
      <c r="J58" t="s">
        <v>9</v>
      </c>
    </row>
  </sheetData>
  <sheetProtection algorithmName="SHA-512" hashValue="ElOeyRNXmaWpvyNGfM9X5Q3ETOivFEg7WtplRcYxImpvC3YFGYpEkyJf5I1tFcJKFcUNejd3PSrB8Jz9Y49biQ==" saltValue="ix29vnrVEWufyBsaV6IxcQ==" spinCount="100000" sheet="1" objects="1" scenarios="1"/>
  <mergeCells count="1">
    <mergeCell ref="J29:Q32"/>
  </mergeCells>
  <pageMargins left="0.25" right="0.25" top="0.75" bottom="0.75" header="0.3" footer="0.3"/>
  <pageSetup paperSize="9" scale="91" orientation="landscape" r:id="rId1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atablad">
                <anchor moveWithCells="1" sizeWithCells="1">
                  <from>
                    <xdr:col>11</xdr:col>
                    <xdr:colOff>200025</xdr:colOff>
                    <xdr:row>20</xdr:row>
                    <xdr:rowOff>152400</xdr:rowOff>
                  </from>
                  <to>
                    <xdr:col>13</xdr:col>
                    <xdr:colOff>504825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N32"/>
  <sheetViews>
    <sheetView workbookViewId="0">
      <selection activeCell="E36" sqref="E36"/>
    </sheetView>
  </sheetViews>
  <sheetFormatPr defaultRowHeight="15" x14ac:dyDescent="0.25"/>
  <cols>
    <col min="5" max="5" width="9.28515625" bestFit="1" customWidth="1"/>
    <col min="6" max="6" width="21.7109375" bestFit="1" customWidth="1"/>
    <col min="7" max="13" width="12.7109375" bestFit="1" customWidth="1"/>
  </cols>
  <sheetData>
    <row r="1" spans="1:1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4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5"/>
      <c r="B11" s="35"/>
      <c r="C11" s="35" t="s">
        <v>19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x14ac:dyDescent="0.25">
      <c r="A12" s="35"/>
      <c r="B12" s="35"/>
      <c r="C12" s="93">
        <f>MIN(1,E16/E14)</f>
        <v>0.2</v>
      </c>
      <c r="D12" s="35" t="s">
        <v>13</v>
      </c>
      <c r="E12" s="35">
        <v>0.8</v>
      </c>
      <c r="F12" s="35">
        <v>0.8</v>
      </c>
      <c r="G12" s="35">
        <v>0.8</v>
      </c>
      <c r="H12" s="35">
        <v>0.8</v>
      </c>
      <c r="I12" s="35">
        <v>0.8</v>
      </c>
      <c r="J12" s="35">
        <v>0.8</v>
      </c>
      <c r="K12" s="35">
        <v>0.8</v>
      </c>
      <c r="L12" s="35">
        <v>0.8</v>
      </c>
      <c r="M12" s="35">
        <v>0.8</v>
      </c>
      <c r="N12" s="35"/>
    </row>
    <row r="13" spans="1:14" x14ac:dyDescent="0.25">
      <c r="A13" s="35"/>
      <c r="B13" s="35"/>
      <c r="C13" s="93">
        <f>MIN(1,E16/E15)</f>
        <v>0.2</v>
      </c>
      <c r="D13" s="35" t="s">
        <v>14</v>
      </c>
      <c r="E13" s="35">
        <v>0.8</v>
      </c>
      <c r="F13" s="35">
        <v>0.8</v>
      </c>
      <c r="G13" s="35">
        <v>0.8</v>
      </c>
      <c r="H13" s="35">
        <v>0.8</v>
      </c>
      <c r="I13" s="35">
        <v>0.8</v>
      </c>
      <c r="J13" s="35">
        <v>0.8</v>
      </c>
      <c r="K13" s="35">
        <v>0.8</v>
      </c>
      <c r="L13" s="35">
        <v>0.8</v>
      </c>
      <c r="M13" s="35">
        <v>0.8</v>
      </c>
      <c r="N13" s="35"/>
    </row>
    <row r="14" spans="1:14" x14ac:dyDescent="0.25">
      <c r="A14" s="35"/>
      <c r="B14" s="35"/>
      <c r="C14" s="35"/>
      <c r="D14" s="35" t="s">
        <v>15</v>
      </c>
      <c r="E14" s="35">
        <v>1</v>
      </c>
      <c r="F14" s="35">
        <v>1</v>
      </c>
      <c r="G14" s="35">
        <v>1</v>
      </c>
      <c r="H14" s="35">
        <v>1</v>
      </c>
      <c r="I14" s="35">
        <v>1</v>
      </c>
      <c r="J14" s="35">
        <v>1</v>
      </c>
      <c r="K14" s="35">
        <v>1</v>
      </c>
      <c r="L14" s="35">
        <v>1</v>
      </c>
      <c r="M14" s="35">
        <v>1</v>
      </c>
      <c r="N14" s="35"/>
    </row>
    <row r="15" spans="1:14" x14ac:dyDescent="0.25">
      <c r="A15" s="35"/>
      <c r="B15" s="35"/>
      <c r="C15" s="35"/>
      <c r="D15" s="35" t="s">
        <v>16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/>
    </row>
    <row r="16" spans="1:14" x14ac:dyDescent="0.25">
      <c r="A16" s="35"/>
      <c r="B16" s="35"/>
      <c r="C16" s="35"/>
      <c r="D16" s="35" t="s">
        <v>17</v>
      </c>
      <c r="E16" s="35">
        <v>0.2</v>
      </c>
      <c r="F16" s="35">
        <v>0.4</v>
      </c>
      <c r="G16" s="35">
        <v>0.6</v>
      </c>
      <c r="H16" s="35">
        <v>0.8</v>
      </c>
      <c r="I16" s="35">
        <v>1</v>
      </c>
      <c r="J16" s="35">
        <v>1.2</v>
      </c>
      <c r="K16" s="35">
        <v>1.4</v>
      </c>
      <c r="L16" s="35">
        <v>1.6</v>
      </c>
      <c r="M16" s="35">
        <v>1.8</v>
      </c>
      <c r="N16" s="35"/>
    </row>
    <row r="17" spans="1:14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x14ac:dyDescent="0.25">
      <c r="A18" s="35"/>
      <c r="B18" s="35"/>
      <c r="C18" s="35"/>
      <c r="D18" s="35" t="s">
        <v>18</v>
      </c>
      <c r="E18" s="92">
        <f>E12*E13/(E12*E14/E15+E13-E12*E13*E14/E16)</f>
        <v>-0.39999999999999997</v>
      </c>
      <c r="F18" s="92">
        <f>F12*F13/(F12*F14/F15+F13-F12*F13*F14/F16)</f>
        <v>-2882303761517118</v>
      </c>
      <c r="G18" s="211">
        <f t="shared" ref="G18:M18" si="0">G12*G13/(G12*G14/G15+G13-G12*G13*G14/G16)</f>
        <v>1.2000000000000004</v>
      </c>
      <c r="H18" s="211">
        <f t="shared" si="0"/>
        <v>0.80000000000000027</v>
      </c>
      <c r="I18" s="211">
        <f t="shared" si="0"/>
        <v>0.66666666666666685</v>
      </c>
      <c r="J18" s="211">
        <f t="shared" si="0"/>
        <v>0.60000000000000009</v>
      </c>
      <c r="K18" s="211">
        <f t="shared" si="0"/>
        <v>0.56000000000000016</v>
      </c>
      <c r="L18" s="211">
        <f t="shared" si="0"/>
        <v>0.53333333333333344</v>
      </c>
      <c r="M18" s="211">
        <f t="shared" si="0"/>
        <v>0.51428571428571435</v>
      </c>
      <c r="N18" s="35"/>
    </row>
    <row r="19" spans="1:14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5"/>
      <c r="B21" s="35"/>
      <c r="C21" s="35"/>
      <c r="D21" s="35" t="s">
        <v>22</v>
      </c>
      <c r="E21" s="35" t="s">
        <v>23</v>
      </c>
      <c r="F21" s="35" t="s">
        <v>24</v>
      </c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5"/>
      <c r="B22" s="35"/>
      <c r="C22" s="35"/>
      <c r="D22" s="35">
        <v>0</v>
      </c>
      <c r="E22" s="179">
        <f>EXP(20.386-5132/(273.15+D22))</f>
        <v>4.942090375617866</v>
      </c>
      <c r="F22" s="93">
        <f>1013/760*E22</f>
        <v>6.5872862506590772</v>
      </c>
      <c r="G22" s="35"/>
      <c r="H22" s="35"/>
      <c r="I22" s="35">
        <f>XW(20,0.3)</f>
        <v>4.3543373308181669E-3</v>
      </c>
      <c r="J22" s="35"/>
      <c r="K22" s="35"/>
      <c r="L22" s="35"/>
      <c r="M22" s="35"/>
      <c r="N22" s="35"/>
    </row>
    <row r="23" spans="1:14" x14ac:dyDescent="0.25">
      <c r="A23" s="35"/>
      <c r="B23" s="35"/>
      <c r="C23" s="35"/>
      <c r="D23" s="35">
        <v>10</v>
      </c>
      <c r="E23" s="179">
        <f>EXP(20.386-5132/(273.15+D23))</f>
        <v>9.5958536776079661</v>
      </c>
      <c r="F23" s="93">
        <f>1013/760*E23</f>
        <v>12.79026286239062</v>
      </c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5"/>
      <c r="B24" s="35"/>
      <c r="C24" s="35"/>
      <c r="D24" s="35">
        <v>20</v>
      </c>
      <c r="E24" s="179">
        <f t="shared" ref="E24:E32" si="1">EXP(20.386-5132/(273.15+D24))</f>
        <v>17.807219358650805</v>
      </c>
      <c r="F24" s="93">
        <f t="shared" ref="F24:F32" si="2">1013/760*E24</f>
        <v>23.73514896093851</v>
      </c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5"/>
      <c r="B25" s="35"/>
      <c r="C25" s="35"/>
      <c r="D25" s="35">
        <v>30</v>
      </c>
      <c r="E25" s="179">
        <f t="shared" si="1"/>
        <v>31.724426006857772</v>
      </c>
      <c r="F25" s="93">
        <f t="shared" si="2"/>
        <v>42.285320453877532</v>
      </c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5"/>
      <c r="B26" s="35"/>
      <c r="C26" s="35"/>
      <c r="D26" s="35">
        <v>40</v>
      </c>
      <c r="E26" s="179">
        <f t="shared" si="1"/>
        <v>54.472048013001263</v>
      </c>
      <c r="F26" s="93">
        <f t="shared" si="2"/>
        <v>72.605506101539845</v>
      </c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35"/>
      <c r="B27" s="35"/>
      <c r="C27" s="35"/>
      <c r="D27" s="35">
        <v>50</v>
      </c>
      <c r="E27" s="179">
        <f t="shared" si="1"/>
        <v>90.452989669895402</v>
      </c>
      <c r="F27" s="93">
        <f t="shared" si="2"/>
        <v>120.56431386263691</v>
      </c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35"/>
      <c r="B28" s="35"/>
      <c r="C28" s="35"/>
      <c r="D28" s="35">
        <v>60</v>
      </c>
      <c r="E28" s="179">
        <f t="shared" si="1"/>
        <v>145.69676942183654</v>
      </c>
      <c r="F28" s="93">
        <f t="shared" si="2"/>
        <v>194.19845713726372</v>
      </c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35"/>
      <c r="B29" s="35"/>
      <c r="C29" s="35"/>
      <c r="D29" s="35">
        <v>70</v>
      </c>
      <c r="E29" s="179">
        <f t="shared" si="1"/>
        <v>228.24992855648182</v>
      </c>
      <c r="F29" s="93">
        <f t="shared" si="2"/>
        <v>304.23312845752116</v>
      </c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35"/>
      <c r="B30" s="35"/>
      <c r="C30" s="35"/>
      <c r="D30" s="35">
        <v>80</v>
      </c>
      <c r="E30" s="179">
        <f t="shared" si="1"/>
        <v>348.60221040711042</v>
      </c>
      <c r="F30" s="93">
        <f t="shared" si="2"/>
        <v>464.65005150316171</v>
      </c>
      <c r="G30" s="35"/>
      <c r="H30" s="35"/>
      <c r="I30" s="35"/>
      <c r="J30" s="35"/>
      <c r="K30" s="35"/>
      <c r="L30" s="35"/>
      <c r="M30" s="35"/>
      <c r="N30" s="35"/>
    </row>
    <row r="31" spans="1:14" x14ac:dyDescent="0.25">
      <c r="A31" s="35"/>
      <c r="B31" s="35"/>
      <c r="C31" s="35"/>
      <c r="D31" s="35">
        <v>90</v>
      </c>
      <c r="E31" s="179">
        <f t="shared" si="1"/>
        <v>520.14029946789481</v>
      </c>
      <c r="F31" s="93">
        <f t="shared" si="2"/>
        <v>693.29226758023356</v>
      </c>
      <c r="G31" s="35"/>
      <c r="H31" s="35"/>
      <c r="I31" s="35" t="s">
        <v>25</v>
      </c>
      <c r="J31" s="35"/>
      <c r="K31" s="35"/>
      <c r="L31" s="35"/>
      <c r="M31" s="35"/>
      <c r="N31" s="35"/>
    </row>
    <row r="32" spans="1:14" x14ac:dyDescent="0.25">
      <c r="A32" s="35"/>
      <c r="B32" s="35"/>
      <c r="C32" s="35"/>
      <c r="D32" s="35">
        <v>100</v>
      </c>
      <c r="E32" s="179">
        <f t="shared" si="1"/>
        <v>759.61948757623691</v>
      </c>
      <c r="F32" s="93">
        <f t="shared" si="2"/>
        <v>1012.4928169930632</v>
      </c>
      <c r="G32" s="35"/>
      <c r="H32" s="35"/>
      <c r="I32" s="35"/>
      <c r="J32" s="35"/>
      <c r="K32" s="35"/>
      <c r="L32" s="35"/>
      <c r="M32" s="35"/>
      <c r="N32" s="35"/>
    </row>
  </sheetData>
  <sheetProtection algorithmName="SHA-512" hashValue="hyCiF8wtq3AOJJOj3H7x4dYppse+G3FT19kZoSuQVPcwYiIr/7fm5TFZiXdVvyTbC1hc+E9L+4ecQP5GB6p9QQ==" saltValue="UZgXKLKxDBJae8ioY6E77g==" spinCount="100000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3074" r:id="rId3">
          <objectPr defaultSize="0" autoPict="0" r:id="rId4">
            <anchor moveWithCells="1">
              <from>
                <xdr:col>4</xdr:col>
                <xdr:colOff>333375</xdr:colOff>
                <xdr:row>4</xdr:row>
                <xdr:rowOff>57150</xdr:rowOff>
              </from>
              <to>
                <xdr:col>7</xdr:col>
                <xdr:colOff>209550</xdr:colOff>
                <xdr:row>8</xdr:row>
                <xdr:rowOff>152400</xdr:rowOff>
              </to>
            </anchor>
          </objectPr>
        </oleObject>
      </mc:Choice>
      <mc:Fallback>
        <oleObject progId="Equation.3" shapeId="3074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Performancetest</vt:lpstr>
      <vt:lpstr>Datablad</vt:lpstr>
      <vt:lpstr>Ark1</vt:lpstr>
      <vt:lpstr>Datablad!Print_Area</vt:lpstr>
      <vt:lpstr>Performancetest!Print_Area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Paulsen</dc:creator>
  <cp:lastModifiedBy>Søren Draborg</cp:lastModifiedBy>
  <cp:lastPrinted>2016-01-07T10:15:30Z</cp:lastPrinted>
  <dcterms:created xsi:type="dcterms:W3CDTF">2014-01-19T10:03:18Z</dcterms:created>
  <dcterms:modified xsi:type="dcterms:W3CDTF">2017-01-06T10:26:06Z</dcterms:modified>
</cp:coreProperties>
</file>