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jects\P2003017_SAF 32 WP1 Nitrit - tab af antimikrobiel aktivitet i kodprod\Slutrapport + data\Modeller\"/>
    </mc:Choice>
  </mc:AlternateContent>
  <bookViews>
    <workbookView xWindow="0" yWindow="0" windowWidth="19200" windowHeight="7008"/>
  </bookViews>
  <sheets>
    <sheet name="Brugerflade" sheetId="1" r:id="rId1"/>
    <sheet name="Beregning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2" l="1"/>
  <c r="T4" i="2"/>
  <c r="F15" i="2"/>
  <c r="D29" i="2" l="1"/>
  <c r="F29" i="2" s="1"/>
  <c r="M6" i="1" l="1"/>
  <c r="M8" i="1" s="1"/>
  <c r="B84" i="2" s="1"/>
  <c r="C84" i="2" s="1"/>
  <c r="D84" i="2" s="1"/>
  <c r="B69" i="2" l="1"/>
  <c r="C69" i="2" s="1"/>
  <c r="D69" i="2" s="1"/>
  <c r="B120" i="2"/>
  <c r="C120" i="2" s="1"/>
  <c r="D120" i="2" s="1"/>
  <c r="B111" i="2"/>
  <c r="C111" i="2" s="1"/>
  <c r="D111" i="2" s="1"/>
  <c r="B118" i="2"/>
  <c r="C118" i="2" s="1"/>
  <c r="D118" i="2" s="1"/>
  <c r="B37" i="2"/>
  <c r="C37" i="2" s="1"/>
  <c r="D37" i="2" s="1"/>
  <c r="B101" i="2"/>
  <c r="C101" i="2" s="1"/>
  <c r="D101" i="2" s="1"/>
  <c r="B105" i="2"/>
  <c r="C105" i="2" s="1"/>
  <c r="D105" i="2" s="1"/>
  <c r="B63" i="2"/>
  <c r="C63" i="2" s="1"/>
  <c r="D63" i="2" s="1"/>
  <c r="B51" i="2"/>
  <c r="C51" i="2" s="1"/>
  <c r="D51" i="2" s="1"/>
  <c r="B109" i="2"/>
  <c r="C109" i="2" s="1"/>
  <c r="D109" i="2" s="1"/>
  <c r="B77" i="2"/>
  <c r="C77" i="2" s="1"/>
  <c r="D77" i="2" s="1"/>
  <c r="B39" i="2"/>
  <c r="C39" i="2" s="1"/>
  <c r="D39" i="2" s="1"/>
  <c r="B43" i="2"/>
  <c r="C43" i="2" s="1"/>
  <c r="D43" i="2" s="1"/>
  <c r="B83" i="2"/>
  <c r="C83" i="2" s="1"/>
  <c r="D83" i="2" s="1"/>
  <c r="B41" i="2"/>
  <c r="C41" i="2" s="1"/>
  <c r="D41" i="2" s="1"/>
  <c r="B116" i="2"/>
  <c r="C116" i="2" s="1"/>
  <c r="D116" i="2" s="1"/>
  <c r="B75" i="2"/>
  <c r="C75" i="2" s="1"/>
  <c r="D75" i="2" s="1"/>
  <c r="B34" i="2"/>
  <c r="C34" i="2" s="1"/>
  <c r="D34" i="2" s="1"/>
  <c r="B66" i="2"/>
  <c r="C66" i="2" s="1"/>
  <c r="D66" i="2" s="1"/>
  <c r="B122" i="2"/>
  <c r="C122" i="2" s="1"/>
  <c r="D122" i="2" s="1"/>
  <c r="B123" i="2"/>
  <c r="C123" i="2" s="1"/>
  <c r="D123" i="2" s="1"/>
  <c r="B78" i="2"/>
  <c r="C78" i="2" s="1"/>
  <c r="D78" i="2" s="1"/>
  <c r="B73" i="2"/>
  <c r="C73" i="2" s="1"/>
  <c r="D73" i="2" s="1"/>
  <c r="B67" i="2"/>
  <c r="C67" i="2" s="1"/>
  <c r="D67" i="2" s="1"/>
  <c r="B100" i="2"/>
  <c r="C100" i="2" s="1"/>
  <c r="D100" i="2" s="1"/>
  <c r="B62" i="2"/>
  <c r="C62" i="2" s="1"/>
  <c r="D62" i="2" s="1"/>
  <c r="B85" i="2"/>
  <c r="C85" i="2" s="1"/>
  <c r="D85" i="2" s="1"/>
  <c r="B114" i="2"/>
  <c r="C114" i="2" s="1"/>
  <c r="D114" i="2" s="1"/>
  <c r="B119" i="2"/>
  <c r="C119" i="2" s="1"/>
  <c r="D119" i="2" s="1"/>
  <c r="B87" i="2"/>
  <c r="C87" i="2" s="1"/>
  <c r="D87" i="2" s="1"/>
  <c r="B44" i="2"/>
  <c r="C44" i="2" s="1"/>
  <c r="D44" i="2" s="1"/>
  <c r="B99" i="2"/>
  <c r="C99" i="2" s="1"/>
  <c r="D99" i="2" s="1"/>
  <c r="B64" i="2"/>
  <c r="C64" i="2" s="1"/>
  <c r="D64" i="2" s="1"/>
  <c r="B71" i="2"/>
  <c r="C71" i="2" s="1"/>
  <c r="D71" i="2" s="1"/>
  <c r="B80" i="2"/>
  <c r="C80" i="2" s="1"/>
  <c r="D80" i="2" s="1"/>
  <c r="B79" i="2"/>
  <c r="C79" i="2" s="1"/>
  <c r="D79" i="2" s="1"/>
  <c r="B60" i="2"/>
  <c r="C60" i="2" s="1"/>
  <c r="D60" i="2" s="1"/>
  <c r="B90" i="2"/>
  <c r="C90" i="2" s="1"/>
  <c r="D90" i="2" s="1"/>
  <c r="B97" i="2"/>
  <c r="C97" i="2" s="1"/>
  <c r="D97" i="2" s="1"/>
  <c r="B54" i="2"/>
  <c r="C54" i="2" s="1"/>
  <c r="D54" i="2" s="1"/>
  <c r="B68" i="2"/>
  <c r="C68" i="2" s="1"/>
  <c r="D68" i="2" s="1"/>
  <c r="B38" i="2"/>
  <c r="C38" i="2" s="1"/>
  <c r="D38" i="2" s="1"/>
  <c r="B42" i="2"/>
  <c r="C42" i="2" s="1"/>
  <c r="D42" i="2" s="1"/>
  <c r="B102" i="2"/>
  <c r="C102" i="2" s="1"/>
  <c r="D102" i="2" s="1"/>
  <c r="B76" i="2"/>
  <c r="C76" i="2" s="1"/>
  <c r="D76" i="2" s="1"/>
  <c r="B52" i="2"/>
  <c r="C52" i="2" s="1"/>
  <c r="D52" i="2" s="1"/>
  <c r="B56" i="2"/>
  <c r="C56" i="2" s="1"/>
  <c r="D56" i="2" s="1"/>
  <c r="B91" i="2"/>
  <c r="C91" i="2" s="1"/>
  <c r="D91" i="2" s="1"/>
  <c r="B98" i="2"/>
  <c r="C98" i="2" s="1"/>
  <c r="D98" i="2" s="1"/>
  <c r="B82" i="2"/>
  <c r="C82" i="2" s="1"/>
  <c r="D82" i="2" s="1"/>
  <c r="M12" i="1"/>
  <c r="B53" i="2"/>
  <c r="C53" i="2" s="1"/>
  <c r="D53" i="2" s="1"/>
  <c r="B89" i="2"/>
  <c r="C89" i="2" s="1"/>
  <c r="D89" i="2" s="1"/>
  <c r="B103" i="2"/>
  <c r="C103" i="2" s="1"/>
  <c r="D103" i="2" s="1"/>
  <c r="B121" i="2"/>
  <c r="C121" i="2" s="1"/>
  <c r="D121" i="2" s="1"/>
  <c r="B40" i="2"/>
  <c r="C40" i="2" s="1"/>
  <c r="D40" i="2" s="1"/>
  <c r="B74" i="2"/>
  <c r="C74" i="2" s="1"/>
  <c r="D74" i="2" s="1"/>
  <c r="B110" i="2"/>
  <c r="C110" i="2" s="1"/>
  <c r="D110" i="2" s="1"/>
  <c r="B50" i="2"/>
  <c r="C50" i="2" s="1"/>
  <c r="D50" i="2" s="1"/>
  <c r="B72" i="2"/>
  <c r="C72" i="2" s="1"/>
  <c r="D72" i="2" s="1"/>
  <c r="B61" i="2"/>
  <c r="C61" i="2" s="1"/>
  <c r="D61" i="2" s="1"/>
  <c r="B70" i="2"/>
  <c r="C70" i="2" s="1"/>
  <c r="D70" i="2" s="1"/>
  <c r="B59" i="2"/>
  <c r="C59" i="2" s="1"/>
  <c r="D59" i="2" s="1"/>
  <c r="B45" i="2"/>
  <c r="C45" i="2" s="1"/>
  <c r="D45" i="2" s="1"/>
  <c r="B108" i="2"/>
  <c r="C108" i="2" s="1"/>
  <c r="D108" i="2" s="1"/>
  <c r="B115" i="2"/>
  <c r="C115" i="2" s="1"/>
  <c r="D115" i="2" s="1"/>
  <c r="B96" i="2"/>
  <c r="C96" i="2" s="1"/>
  <c r="D96" i="2" s="1"/>
  <c r="B117" i="2"/>
  <c r="C117" i="2" s="1"/>
  <c r="D117" i="2" s="1"/>
  <c r="B92" i="2"/>
  <c r="C92" i="2" s="1"/>
  <c r="D92" i="2" s="1"/>
  <c r="B81" i="2"/>
  <c r="C81" i="2" s="1"/>
  <c r="D81" i="2" s="1"/>
  <c r="B65" i="2"/>
  <c r="C65" i="2" s="1"/>
  <c r="D65" i="2" s="1"/>
  <c r="B58" i="2"/>
  <c r="C58" i="2" s="1"/>
  <c r="D58" i="2" s="1"/>
  <c r="B36" i="2"/>
  <c r="C36" i="2" s="1"/>
  <c r="D36" i="2" s="1"/>
  <c r="B86" i="2"/>
  <c r="C86" i="2" s="1"/>
  <c r="D86" i="2" s="1"/>
  <c r="B104" i="2"/>
  <c r="C104" i="2" s="1"/>
  <c r="D104" i="2" s="1"/>
  <c r="B46" i="2"/>
  <c r="C46" i="2" s="1"/>
  <c r="D46" i="2" s="1"/>
  <c r="B94" i="2"/>
  <c r="C94" i="2" s="1"/>
  <c r="D94" i="2" s="1"/>
  <c r="B93" i="2"/>
  <c r="C93" i="2" s="1"/>
  <c r="D93" i="2" s="1"/>
  <c r="B88" i="2"/>
  <c r="C88" i="2" s="1"/>
  <c r="D88" i="2" s="1"/>
  <c r="B55" i="2"/>
  <c r="C55" i="2" s="1"/>
  <c r="D55" i="2" s="1"/>
  <c r="B35" i="2"/>
  <c r="C35" i="2" s="1"/>
  <c r="D35" i="2" s="1"/>
  <c r="B106" i="2"/>
  <c r="C106" i="2" s="1"/>
  <c r="D106" i="2" s="1"/>
  <c r="B57" i="2"/>
  <c r="C57" i="2" s="1"/>
  <c r="D57" i="2" s="1"/>
  <c r="B113" i="2"/>
  <c r="C113" i="2" s="1"/>
  <c r="D113" i="2" s="1"/>
  <c r="B107" i="2"/>
  <c r="C107" i="2" s="1"/>
  <c r="D107" i="2" s="1"/>
  <c r="B95" i="2"/>
  <c r="C95" i="2" s="1"/>
  <c r="D95" i="2" s="1"/>
  <c r="B112" i="2"/>
  <c r="C112" i="2" s="1"/>
  <c r="D112" i="2" s="1"/>
  <c r="M14" i="1" l="1"/>
  <c r="M17" i="1"/>
</calcChain>
</file>

<file path=xl/sharedStrings.xml><?xml version="1.0" encoding="utf-8"?>
<sst xmlns="http://schemas.openxmlformats.org/spreadsheetml/2006/main" count="56" uniqueCount="43">
  <si>
    <t>Koefficienter</t>
  </si>
  <si>
    <t>B0</t>
  </si>
  <si>
    <t>LagerTemp</t>
  </si>
  <si>
    <t>pH</t>
  </si>
  <si>
    <t>LT*pH</t>
  </si>
  <si>
    <t>pH^2</t>
  </si>
  <si>
    <t>laktat</t>
  </si>
  <si>
    <t>ascorb</t>
  </si>
  <si>
    <t>Laktat^2</t>
  </si>
  <si>
    <t>ln(NO2)</t>
  </si>
  <si>
    <t>Nitrit</t>
  </si>
  <si>
    <t>Rest</t>
  </si>
  <si>
    <t>måneder</t>
  </si>
  <si>
    <t>Vækstmodel</t>
  </si>
  <si>
    <t>LagetTemp</t>
  </si>
  <si>
    <t>NaNO2</t>
  </si>
  <si>
    <t>Acetat</t>
  </si>
  <si>
    <t>MuMax</t>
  </si>
  <si>
    <t>Relativ kogehenfald af Nitrit</t>
  </si>
  <si>
    <t>Ascorbat</t>
  </si>
  <si>
    <t>pH*pH</t>
  </si>
  <si>
    <t>pH*Ascorbat</t>
  </si>
  <si>
    <t>Laktat i vand</t>
  </si>
  <si>
    <t>Nitrit henfald under lagring</t>
  </si>
  <si>
    <t>henfalds konstant lagring</t>
  </si>
  <si>
    <t>(1/md)</t>
  </si>
  <si>
    <t>Laktat/v</t>
  </si>
  <si>
    <t>(L/v)**2</t>
  </si>
  <si>
    <t>Tilsat til recept</t>
  </si>
  <si>
    <t>Nitrit svind under kogning %</t>
  </si>
  <si>
    <t>Rest-nitrit efter mellemlagring (ppm)</t>
  </si>
  <si>
    <t>Mellemlagring</t>
  </si>
  <si>
    <t>dage</t>
  </si>
  <si>
    <t>(1/dag)</t>
  </si>
  <si>
    <t xml:space="preserve">Rest nitrit efter kogning (ppm) : </t>
  </si>
  <si>
    <t>Temperatur (÷1- 5°C)</t>
  </si>
  <si>
    <t>Lagringstid     (0 - 180 dage)</t>
  </si>
  <si>
    <r>
      <t>NaNO</t>
    </r>
    <r>
      <rPr>
        <b/>
        <vertAlign val="subscript"/>
        <sz val="12"/>
        <color theme="1"/>
        <rFont val="Calibri"/>
        <family val="2"/>
        <scheme val="minor"/>
      </rPr>
      <t xml:space="preserve">2             </t>
    </r>
    <r>
      <rPr>
        <b/>
        <sz val="12"/>
        <color theme="1"/>
        <rFont val="Calibri"/>
        <family val="2"/>
        <scheme val="minor"/>
      </rPr>
      <t>(0 - 150 ppm)</t>
    </r>
  </si>
  <si>
    <t>pH            (5,8 - 6,4)</t>
  </si>
  <si>
    <t>Na-acetat        (0 - 0,25 %)</t>
  </si>
  <si>
    <t>Na-ascorbat       (0 - 1500 ppm)</t>
  </si>
  <si>
    <t>"Korrigeret mængde tilsat nitrit"       til input i Listeriamodellen (ppm)</t>
  </si>
  <si>
    <r>
      <t>Farvestabilitet/oxidativ stabilitet (forudsat O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 xml:space="preserve"> rest i pakning er &lt; 0,3%)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</si>
</sst>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10" xfId="0" applyBorder="1"/>
    <xf numFmtId="0" fontId="1" fillId="0" borderId="13" xfId="0" applyFont="1" applyBorder="1" applyAlignment="1"/>
    <xf numFmtId="0" fontId="0" fillId="0" borderId="14" xfId="0" applyBorder="1"/>
    <xf numFmtId="0" fontId="0" fillId="0" borderId="15" xfId="0" applyBorder="1"/>
    <xf numFmtId="0" fontId="1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" fillId="0" borderId="17" xfId="0" applyFont="1" applyBorder="1" applyAlignment="1">
      <alignment horizontal="center" vertical="center" wrapText="1"/>
    </xf>
    <xf numFmtId="0" fontId="0" fillId="0" borderId="24" xfId="0" applyBorder="1"/>
    <xf numFmtId="0" fontId="4" fillId="0" borderId="15" xfId="0" applyFont="1" applyBorder="1" applyAlignment="1">
      <alignment vertical="center"/>
    </xf>
    <xf numFmtId="0" fontId="0" fillId="3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6" fillId="5" borderId="1" xfId="0" applyFont="1" applyFill="1" applyBorder="1"/>
    <xf numFmtId="0" fontId="5" fillId="5" borderId="1" xfId="0" applyFont="1" applyFill="1" applyBorder="1"/>
    <xf numFmtId="164" fontId="7" fillId="5" borderId="17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4" borderId="20" xfId="0" quotePrefix="1" applyFont="1" applyFill="1" applyBorder="1" applyAlignment="1" applyProtection="1">
      <alignment horizontal="center"/>
      <protection locked="0"/>
    </xf>
    <xf numFmtId="0" fontId="1" fillId="4" borderId="21" xfId="0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 wrapText="1"/>
    </xf>
    <xf numFmtId="0" fontId="6" fillId="5" borderId="8" xfId="0" applyFont="1" applyFill="1" applyBorder="1" applyAlignment="1">
      <alignment horizontal="left" wrapText="1"/>
    </xf>
    <xf numFmtId="0" fontId="6" fillId="5" borderId="9" xfId="0" applyFont="1" applyFill="1" applyBorder="1" applyAlignment="1">
      <alignment horizontal="left" wrapText="1"/>
    </xf>
    <xf numFmtId="164" fontId="6" fillId="5" borderId="18" xfId="0" applyNumberFormat="1" applyFont="1" applyFill="1" applyBorder="1" applyAlignment="1">
      <alignment horizontal="center" vertical="center" wrapText="1"/>
    </xf>
    <xf numFmtId="164" fontId="6" fillId="5" borderId="19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25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 baseline="0"/>
              <a:t>Rest nitrit efter mellemlagring </a:t>
            </a:r>
            <a:endParaRPr lang="da-DK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1949837792015129"/>
          <c:y val="0.16339555661394034"/>
          <c:w val="0.84872108377757127"/>
          <c:h val="0.6310433839920174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Beregning!$A$50:$A$123</c:f>
              <c:numCache>
                <c:formatCode>General</c:formatCode>
                <c:ptCount val="7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</c:numCache>
            </c:numRef>
          </c:xVal>
          <c:yVal>
            <c:numRef>
              <c:f>Beregning!$C$50:$C$123</c:f>
              <c:numCache>
                <c:formatCode>General</c:formatCode>
                <c:ptCount val="74"/>
                <c:pt idx="0">
                  <c:v>18.027719999999949</c:v>
                </c:pt>
                <c:pt idx="1">
                  <c:v>16.27348191522124</c:v>
                </c:pt>
                <c:pt idx="2">
                  <c:v>14.68994490956336</c:v>
                </c:pt>
                <c:pt idx="3">
                  <c:v>13.26049843359983</c:v>
                </c:pt>
                <c:pt idx="4">
                  <c:v>11.970148274213656</c:v>
                </c:pt>
                <c:pt idx="5">
                  <c:v>10.80535927243896</c:v>
                </c:pt>
                <c:pt idx="6">
                  <c:v>9.75391334608614</c:v>
                </c:pt>
                <c:pt idx="7">
                  <c:v>8.8047813278755349</c:v>
                </c:pt>
                <c:pt idx="8">
                  <c:v>7.9480072747225172</c:v>
                </c:pt>
                <c:pt idx="9">
                  <c:v>7.1746040346335587</c:v>
                </c:pt>
                <c:pt idx="10">
                  <c:v>6.476458975759714</c:v>
                </c:pt>
                <c:pt idx="11">
                  <c:v>5.8462488887501189</c:v>
                </c:pt>
                <c:pt idx="12">
                  <c:v>5.2773631697717507</c:v>
                </c:pt>
                <c:pt idx="13">
                  <c:v>4.7638344784218685</c:v>
                </c:pt>
                <c:pt idx="14">
                  <c:v>4.3002761431676282</c:v>
                </c:pt>
                <c:pt idx="15">
                  <c:v>3.8818256577257659</c:v>
                </c:pt>
                <c:pt idx="16">
                  <c:v>3.5040936756862333</c:v>
                </c:pt>
                <c:pt idx="17">
                  <c:v>3.1631179683576853</c:v>
                </c:pt>
                <c:pt idx="18">
                  <c:v>2.8553218628745229</c:v>
                </c:pt>
                <c:pt idx="19">
                  <c:v>2.5774767246010311</c:v>
                </c:pt>
                <c:pt idx="20">
                  <c:v>2.3266680902908785</c:v>
                </c:pt>
                <c:pt idx="21">
                  <c:v>2.1002650967549448</c:v>
                </c:pt>
                <c:pt idx="22">
                  <c:v>1.8958928843587595</c:v>
                </c:pt>
                <c:pt idx="23">
                  <c:v>1.7114076858753624</c:v>
                </c:pt>
                <c:pt idx="24">
                  <c:v>1.5448743393875333</c:v>
                </c:pt>
                <c:pt idx="25">
                  <c:v>1.3945459893604106</c:v>
                </c:pt>
                <c:pt idx="26">
                  <c:v>1.2588457629584338</c:v>
                </c:pt>
                <c:pt idx="27">
                  <c:v>1.1363502293998915</c:v>
                </c:pt>
                <c:pt idx="28">
                  <c:v>1.0257744688455723</c:v>
                </c:pt>
                <c:pt idx="29">
                  <c:v>0.92595859420127125</c:v>
                </c:pt>
                <c:pt idx="30">
                  <c:v>0.83585558445428032</c:v>
                </c:pt>
                <c:pt idx="31">
                  <c:v>0.75452030192134378</c:v>
                </c:pt>
                <c:pt idx="32">
                  <c:v>0.68109957820424838</c:v>
                </c:pt>
                <c:pt idx="33">
                  <c:v>0.61482326485943228</c:v>
                </c:pt>
                <c:pt idx="34">
                  <c:v>0.55499615490740251</c:v>
                </c:pt>
                <c:pt idx="35">
                  <c:v>0.50099069044243894</c:v>
                </c:pt>
                <c:pt idx="36">
                  <c:v>0.45224037984888044</c:v>
                </c:pt>
                <c:pt idx="37">
                  <c:v>0.40823385557372532</c:v>
                </c:pt>
                <c:pt idx="38">
                  <c:v>0.36850951012441269</c:v>
                </c:pt>
                <c:pt idx="39">
                  <c:v>0.33265065402594934</c:v>
                </c:pt>
                <c:pt idx="40">
                  <c:v>0.30028114494666097</c:v>
                </c:pt>
                <c:pt idx="41">
                  <c:v>0.27106144214417749</c:v>
                </c:pt>
                <c:pt idx="42">
                  <c:v>0.24468504484466536</c:v>
                </c:pt>
                <c:pt idx="43">
                  <c:v>0.22087527719560612</c:v>
                </c:pt>
                <c:pt idx="44">
                  <c:v>0.19938238606779926</c:v>
                </c:pt>
                <c:pt idx="45">
                  <c:v>0.17998092126392012</c:v>
                </c:pt>
                <c:pt idx="46">
                  <c:v>0.16246737065326461</c:v>
                </c:pt>
                <c:pt idx="47">
                  <c:v>0.14665802542636874</c:v>
                </c:pt>
                <c:pt idx="48">
                  <c:v>0.13238705307704324</c:v>
                </c:pt>
                <c:pt idx="49">
                  <c:v>0.11950475789832016</c:v>
                </c:pt>
                <c:pt idx="50">
                  <c:v>0.10787601074574112</c:v>
                </c:pt>
                <c:pt idx="51">
                  <c:v>9.7378831596953708E-2</c:v>
                </c:pt>
                <c:pt idx="52">
                  <c:v>8.7903110039339746E-2</c:v>
                </c:pt>
                <c:pt idx="53">
                  <c:v>7.9349450264198831E-2</c:v>
                </c:pt>
                <c:pt idx="54">
                  <c:v>7.1628128452027762E-2</c:v>
                </c:pt>
                <c:pt idx="55">
                  <c:v>6.4658151612362588E-2</c:v>
                </c:pt>
                <c:pt idx="56">
                  <c:v>5.8366408005860924E-2</c:v>
                </c:pt>
                <c:pt idx="57">
                  <c:v>5.268690023695758E-2</c:v>
                </c:pt>
                <c:pt idx="58">
                  <c:v>4.7560052972599798E-2</c:v>
                </c:pt>
                <c:pt idx="59">
                  <c:v>4.293208802536147E-2</c:v>
                </c:pt>
                <c:pt idx="60">
                  <c:v>3.8754460245855188E-2</c:v>
                </c:pt>
                <c:pt idx="61">
                  <c:v>3.4983348307222786E-2</c:v>
                </c:pt>
                <c:pt idx="62">
                  <c:v>3.1579195040275607E-2</c:v>
                </c:pt>
                <c:pt idx="63">
                  <c:v>2.8506292497618723E-2</c:v>
                </c:pt>
                <c:pt idx="64">
                  <c:v>2.5732407394279826E-2</c:v>
                </c:pt>
                <c:pt idx="65">
                  <c:v>2.3228442995892957E-2</c:v>
                </c:pt>
                <c:pt idx="66">
                  <c:v>2.0968133907804911E-2</c:v>
                </c:pt>
                <c:pt idx="67">
                  <c:v>1.8927770563587701E-2</c:v>
                </c:pt>
                <c:pt idx="68">
                  <c:v>1.7085950522972539E-2</c:v>
                </c:pt>
                <c:pt idx="69">
                  <c:v>1.542335397043881E-2</c:v>
                </c:pt>
                <c:pt idx="70">
                  <c:v>1.3922541059545648E-2</c:v>
                </c:pt>
                <c:pt idx="71">
                  <c:v>1.2567768977244055E-2</c:v>
                </c:pt>
                <c:pt idx="72">
                  <c:v>1.1344826809261523E-2</c:v>
                </c:pt>
                <c:pt idx="73">
                  <c:v>1.0240886474375844E-2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97208"/>
        <c:axId val="159597992"/>
      </c:scatterChart>
      <c:valAx>
        <c:axId val="159597208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b="1"/>
                  <a:t>Tid på mellemlager (dage)</a:t>
                </a:r>
              </a:p>
            </c:rich>
          </c:tx>
          <c:layout>
            <c:manualLayout>
              <c:xMode val="edge"/>
              <c:yMode val="edge"/>
              <c:x val="0.37114266966629172"/>
              <c:y val="0.899467864574439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9597992"/>
        <c:crosses val="autoZero"/>
        <c:crossBetween val="midCat"/>
        <c:majorUnit val="10"/>
      </c:valAx>
      <c:valAx>
        <c:axId val="15959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b="1"/>
                  <a:t>ppm</a:t>
                </a:r>
                <a:r>
                  <a:rPr lang="da-DK" b="1" baseline="0"/>
                  <a:t> Nitrit</a:t>
                </a:r>
                <a:endParaRPr lang="da-DK" b="1"/>
              </a:p>
            </c:rich>
          </c:tx>
          <c:layout>
            <c:manualLayout>
              <c:xMode val="edge"/>
              <c:yMode val="edge"/>
              <c:x val="5.5614963746724554E-3"/>
              <c:y val="0.365461720899345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9597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100000">
          <a:srgbClr val="C6DCF0">
            <a:lumMod val="44000"/>
            <a:lumOff val="56000"/>
          </a:srgb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Mu_max efter slicing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Beregning!$A$34:$A$46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Beregning!$D$34:$D$46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98776"/>
        <c:axId val="159599168"/>
      </c:scatterChart>
      <c:valAx>
        <c:axId val="159598776"/>
        <c:scaling>
          <c:orientation val="minMax"/>
          <c:max val="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Tid på mellemlager</a:t>
                </a:r>
                <a:r>
                  <a:rPr lang="da-DK" baseline="0"/>
                  <a:t> (måneder)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9599168"/>
        <c:crosses val="autoZero"/>
        <c:crossBetween val="midCat"/>
      </c:valAx>
      <c:valAx>
        <c:axId val="15959916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log units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9598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Mu_max efter slicing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Beregning!$A$50:$A$123</c:f>
              <c:numCache>
                <c:formatCode>General</c:formatCode>
                <c:ptCount val="7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</c:numCache>
            </c:numRef>
          </c:xVal>
          <c:yVal>
            <c:numRef>
              <c:f>Beregning!$D$50:$D$123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99952"/>
        <c:axId val="159600344"/>
      </c:scatterChart>
      <c:valAx>
        <c:axId val="159599952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Tid på mellemlager</a:t>
                </a:r>
                <a:r>
                  <a:rPr lang="da-DK" baseline="0"/>
                  <a:t> (dage)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9600344"/>
        <c:crosses val="autoZero"/>
        <c:crossBetween val="midCat"/>
        <c:majorUnit val="30"/>
        <c:minorUnit val="30"/>
      </c:valAx>
      <c:valAx>
        <c:axId val="159600344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log units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959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6350</xdr:rowOff>
    </xdr:from>
    <xdr:to>
      <xdr:col>8</xdr:col>
      <xdr:colOff>889000</xdr:colOff>
      <xdr:row>18</xdr:row>
      <xdr:rowOff>13856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32</xdr:row>
      <xdr:rowOff>33337</xdr:rowOff>
    </xdr:from>
    <xdr:to>
      <xdr:col>19</xdr:col>
      <xdr:colOff>552450</xdr:colOff>
      <xdr:row>46</xdr:row>
      <xdr:rowOff>109537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225136</xdr:colOff>
      <xdr:row>32</xdr:row>
      <xdr:rowOff>77932</xdr:rowOff>
    </xdr:from>
    <xdr:to>
      <xdr:col>11</xdr:col>
      <xdr:colOff>625186</xdr:colOff>
      <xdr:row>46</xdr:row>
      <xdr:rowOff>154132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9"/>
  <sheetViews>
    <sheetView tabSelected="1" zoomScale="120" zoomScaleNormal="120" workbookViewId="0">
      <selection activeCell="I3" sqref="I3"/>
    </sheetView>
  </sheetViews>
  <sheetFormatPr defaultColWidth="8.88671875" defaultRowHeight="14.4" x14ac:dyDescent="0.3"/>
  <cols>
    <col min="1" max="3" width="8.88671875" style="1"/>
    <col min="4" max="4" width="12.77734375" style="1" customWidth="1"/>
    <col min="5" max="5" width="11.33203125" style="1" customWidth="1"/>
    <col min="6" max="6" width="13.77734375" style="1" customWidth="1"/>
    <col min="7" max="7" width="10.44140625" style="1" customWidth="1"/>
    <col min="8" max="8" width="12.21875" style="1" customWidth="1"/>
    <col min="9" max="9" width="13.88671875" style="1" customWidth="1"/>
    <col min="10" max="11" width="13.44140625" style="1" customWidth="1"/>
    <col min="12" max="12" width="8.6640625" style="1" customWidth="1"/>
    <col min="13" max="13" width="20.6640625" style="1" customWidth="1"/>
    <col min="14" max="16384" width="8.88671875" style="1"/>
  </cols>
  <sheetData>
    <row r="1" spans="3:14" ht="28.2" customHeight="1" x14ac:dyDescent="0.3">
      <c r="C1" s="8"/>
      <c r="D1" s="34" t="s">
        <v>28</v>
      </c>
      <c r="E1" s="35"/>
      <c r="F1" s="36"/>
      <c r="G1" s="23"/>
      <c r="H1" s="34" t="s">
        <v>31</v>
      </c>
      <c r="I1" s="45"/>
      <c r="J1" s="12"/>
      <c r="K1" s="13"/>
      <c r="L1" s="13"/>
      <c r="M1" s="14"/>
      <c r="N1" s="9"/>
    </row>
    <row r="2" spans="3:14" ht="37.200000000000003" customHeight="1" x14ac:dyDescent="0.3">
      <c r="C2" s="8"/>
      <c r="D2" s="15" t="s">
        <v>37</v>
      </c>
      <c r="E2" s="7" t="s">
        <v>39</v>
      </c>
      <c r="F2" s="7" t="s">
        <v>40</v>
      </c>
      <c r="G2" s="21" t="s">
        <v>38</v>
      </c>
      <c r="H2" s="15" t="s">
        <v>35</v>
      </c>
      <c r="I2" s="21" t="s">
        <v>36</v>
      </c>
      <c r="J2" s="9"/>
      <c r="M2" s="16"/>
      <c r="N2" s="9"/>
    </row>
    <row r="3" spans="3:14" ht="20.399999999999999" customHeight="1" thickBot="1" x14ac:dyDescent="0.35">
      <c r="C3" s="8"/>
      <c r="D3" s="30">
        <v>60</v>
      </c>
      <c r="E3" s="31">
        <v>0</v>
      </c>
      <c r="F3" s="31">
        <v>240</v>
      </c>
      <c r="G3" s="32">
        <v>5.8</v>
      </c>
      <c r="H3" s="33">
        <v>5</v>
      </c>
      <c r="I3" s="32">
        <v>30</v>
      </c>
      <c r="J3" s="9"/>
      <c r="M3" s="16"/>
      <c r="N3" s="9"/>
    </row>
    <row r="4" spans="3:14" x14ac:dyDescent="0.3">
      <c r="C4" s="8"/>
      <c r="D4" s="22"/>
      <c r="E4" s="11"/>
      <c r="F4" s="11"/>
      <c r="G4" s="11"/>
      <c r="H4" s="11"/>
      <c r="I4" s="11"/>
      <c r="M4" s="16"/>
      <c r="N4" s="9"/>
    </row>
    <row r="5" spans="3:14" x14ac:dyDescent="0.3">
      <c r="C5" s="8"/>
      <c r="D5" s="17"/>
      <c r="M5" s="16"/>
      <c r="N5" s="9"/>
    </row>
    <row r="6" spans="3:14" ht="15.6" x14ac:dyDescent="0.3">
      <c r="C6" s="8"/>
      <c r="D6" s="17"/>
      <c r="J6" s="26" t="s">
        <v>29</v>
      </c>
      <c r="K6" s="26"/>
      <c r="L6" s="26"/>
      <c r="M6" s="28">
        <f>(Beregning!E18+Beregning!F18*G3+Beregning!G18*Beregning!S4+Beregning!H18*F3+Beregning!I18*Beregning!T4)*100</f>
        <v>69.953800000000086</v>
      </c>
      <c r="N6" s="9"/>
    </row>
    <row r="7" spans="3:14" ht="15.6" x14ac:dyDescent="0.3">
      <c r="C7" s="8"/>
      <c r="D7" s="17"/>
      <c r="J7" s="6"/>
      <c r="K7" s="6"/>
      <c r="L7" s="6"/>
      <c r="M7" s="29"/>
      <c r="N7" s="9"/>
    </row>
    <row r="8" spans="3:14" ht="15.6" x14ac:dyDescent="0.3">
      <c r="C8" s="8"/>
      <c r="D8" s="17"/>
      <c r="J8" s="26" t="s">
        <v>34</v>
      </c>
      <c r="K8" s="26"/>
      <c r="L8" s="26"/>
      <c r="M8" s="28">
        <f>D3*(1-M6/100)</f>
        <v>18.027719999999945</v>
      </c>
      <c r="N8" s="10"/>
    </row>
    <row r="9" spans="3:14" x14ac:dyDescent="0.3">
      <c r="C9" s="8"/>
      <c r="D9" s="17"/>
      <c r="J9" s="3"/>
      <c r="K9" s="3"/>
      <c r="L9" s="3"/>
      <c r="M9" s="24"/>
      <c r="N9" s="9"/>
    </row>
    <row r="10" spans="3:14" x14ac:dyDescent="0.3">
      <c r="C10" s="8"/>
      <c r="D10" s="17"/>
      <c r="M10" s="25"/>
      <c r="N10" s="9"/>
    </row>
    <row r="11" spans="3:14" x14ac:dyDescent="0.3">
      <c r="C11" s="8"/>
      <c r="D11" s="17"/>
      <c r="M11" s="25"/>
      <c r="N11" s="9"/>
    </row>
    <row r="12" spans="3:14" ht="15.6" x14ac:dyDescent="0.3">
      <c r="C12" s="8"/>
      <c r="D12" s="17"/>
      <c r="J12" s="26" t="s">
        <v>30</v>
      </c>
      <c r="K12" s="27"/>
      <c r="L12" s="27"/>
      <c r="M12" s="28">
        <f>EXP(LN($M$8)-Beregning!$F$29*$I$3)</f>
        <v>9.75391334608614</v>
      </c>
      <c r="N12" s="9"/>
    </row>
    <row r="13" spans="3:14" x14ac:dyDescent="0.3">
      <c r="C13" s="8"/>
      <c r="D13" s="17"/>
      <c r="M13" s="18"/>
      <c r="N13" s="9"/>
    </row>
    <row r="14" spans="3:14" x14ac:dyDescent="0.3">
      <c r="C14" s="8"/>
      <c r="D14" s="17"/>
      <c r="J14" s="37" t="s">
        <v>41</v>
      </c>
      <c r="K14" s="38"/>
      <c r="L14" s="39"/>
      <c r="M14" s="43">
        <f>+M12*100/(100-M6)</f>
        <v>32.463051387816655</v>
      </c>
      <c r="N14" s="9"/>
    </row>
    <row r="15" spans="3:14" x14ac:dyDescent="0.3">
      <c r="C15" s="8"/>
      <c r="D15" s="17"/>
      <c r="J15" s="40"/>
      <c r="K15" s="41"/>
      <c r="L15" s="42"/>
      <c r="M15" s="44"/>
      <c r="N15" s="9"/>
    </row>
    <row r="16" spans="3:14" x14ac:dyDescent="0.3">
      <c r="C16" s="8"/>
      <c r="D16" s="17"/>
      <c r="M16" s="16"/>
      <c r="N16" s="9"/>
    </row>
    <row r="17" spans="3:14" x14ac:dyDescent="0.3">
      <c r="C17" s="8"/>
      <c r="D17" s="17"/>
      <c r="J17" s="46" t="s">
        <v>42</v>
      </c>
      <c r="K17" s="47"/>
      <c r="L17" s="48"/>
      <c r="M17" s="52" t="str">
        <f>IF(M12&gt;7.5,"OK","Risiko for reduceret stabilitet!")</f>
        <v>OK</v>
      </c>
      <c r="N17" s="9"/>
    </row>
    <row r="18" spans="3:14" ht="15" thickBot="1" x14ac:dyDescent="0.35">
      <c r="C18" s="8"/>
      <c r="D18" s="19"/>
      <c r="E18" s="20"/>
      <c r="F18" s="20"/>
      <c r="G18" s="20"/>
      <c r="H18" s="20"/>
      <c r="I18" s="20"/>
      <c r="J18" s="49"/>
      <c r="K18" s="50"/>
      <c r="L18" s="51"/>
      <c r="M18" s="53"/>
      <c r="N18" s="9"/>
    </row>
    <row r="19" spans="3:14" x14ac:dyDescent="0.3">
      <c r="D19" s="11"/>
      <c r="E19" s="11"/>
      <c r="F19" s="11"/>
      <c r="G19" s="11"/>
      <c r="H19" s="11"/>
      <c r="I19" s="11"/>
      <c r="J19" s="11"/>
      <c r="K19" s="11"/>
      <c r="L19" s="11"/>
      <c r="M19" s="11"/>
    </row>
  </sheetData>
  <sheetProtection algorithmName="SHA-512" hashValue="vLiyGoYoD8zuI4ZpdQbX0oxK/A9bUvmch4bByGpJ66vWkab7t/xtp8S+W7O6TvVV3R5tLzdgIv0OIOlWlPL+Yw==" saltValue="vP0Tv/ug5QKe5d3r8wBrdw==" spinCount="100000" sheet="1" objects="1" scenarios="1" selectLockedCells="1"/>
  <mergeCells count="6">
    <mergeCell ref="D1:F1"/>
    <mergeCell ref="J14:L15"/>
    <mergeCell ref="M14:M15"/>
    <mergeCell ref="H1:I1"/>
    <mergeCell ref="J17:L18"/>
    <mergeCell ref="M17:M18"/>
  </mergeCells>
  <dataValidations count="6">
    <dataValidation type="whole" allowBlank="1" showInputMessage="1" showErrorMessage="1" error="Værdi udenfor tilladt interval - indatst ny værdi" sqref="D3">
      <formula1>0</formula1>
      <formula2>150</formula2>
    </dataValidation>
    <dataValidation type="whole" allowBlank="1" showInputMessage="1" showErrorMessage="1" error="Værdi udenfor tilladt interval - indtast ny værdi" sqref="F3">
      <formula1>0</formula1>
      <formula2>1500</formula2>
    </dataValidation>
    <dataValidation type="decimal" allowBlank="1" showInputMessage="1" showErrorMessage="1" error="Værdi udenfor tilladt interval - indtast ny værdi" sqref="G3">
      <formula1>5.8</formula1>
      <formula2>6.4</formula2>
    </dataValidation>
    <dataValidation type="decimal" allowBlank="1" showInputMessage="1" showErrorMessage="1" error="Værdi udenfor tilladt interval - indtast ny værdi" sqref="E3">
      <formula1>0</formula1>
      <formula2>0.25</formula2>
    </dataValidation>
    <dataValidation type="decimal" allowBlank="1" showInputMessage="1" showErrorMessage="1" error="Værdi udenfor tilladt interval - indtast ny værdi" sqref="H2 H3">
      <formula1>-1</formula1>
      <formula2>5</formula2>
    </dataValidation>
    <dataValidation type="whole" allowBlank="1" showInputMessage="1" showErrorMessage="1" error="Værdi udenfor tilladt interval - indtast ny værdi" sqref="I3">
      <formula1>0</formula1>
      <formula2>180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26"/>
  <sheetViews>
    <sheetView workbookViewId="0">
      <selection activeCell="Q9" sqref="Q9"/>
    </sheetView>
  </sheetViews>
  <sheetFormatPr defaultRowHeight="14.4" x14ac:dyDescent="0.3"/>
  <sheetData>
    <row r="3" spans="3:21" x14ac:dyDescent="0.3">
      <c r="R3" s="1"/>
      <c r="S3" s="2" t="s">
        <v>20</v>
      </c>
      <c r="T3" s="2" t="s">
        <v>21</v>
      </c>
      <c r="U3" s="1"/>
    </row>
    <row r="4" spans="3:21" x14ac:dyDescent="0.3">
      <c r="R4" s="1"/>
      <c r="S4" s="2">
        <f>Brugerflade!G3*Brugerflade!G3</f>
        <v>33.64</v>
      </c>
      <c r="T4" s="2">
        <f>Brugerflade!F3*Brugerflade!G3</f>
        <v>1392</v>
      </c>
      <c r="U4" s="1"/>
    </row>
    <row r="5" spans="3:21" x14ac:dyDescent="0.3">
      <c r="R5" s="1"/>
      <c r="S5" s="1"/>
      <c r="T5" s="1"/>
      <c r="U5" s="1"/>
    </row>
    <row r="10" spans="3:21" s="1" customFormat="1" x14ac:dyDescent="0.3"/>
    <row r="11" spans="3:21" s="1" customFormat="1" x14ac:dyDescent="0.3"/>
    <row r="12" spans="3:21" s="1" customFormat="1" x14ac:dyDescent="0.3"/>
    <row r="13" spans="3:21" s="1" customFormat="1" x14ac:dyDescent="0.3"/>
    <row r="14" spans="3:21" s="1" customFormat="1" x14ac:dyDescent="0.3"/>
    <row r="15" spans="3:21" s="1" customFormat="1" x14ac:dyDescent="0.3">
      <c r="C15" s="2" t="s">
        <v>22</v>
      </c>
      <c r="D15" s="2"/>
      <c r="E15" s="2"/>
      <c r="F15" s="2" t="e">
        <f>Brugerflade!#REF!*0.78+0.35</f>
        <v>#REF!</v>
      </c>
    </row>
    <row r="16" spans="3:21" s="1" customFormat="1" x14ac:dyDescent="0.3"/>
    <row r="17" spans="1:21" s="1" customFormat="1" x14ac:dyDescent="0.3">
      <c r="A17" s="2" t="s">
        <v>18</v>
      </c>
      <c r="B17" s="2"/>
      <c r="C17" s="2"/>
      <c r="D17" s="2"/>
      <c r="E17" s="2" t="s">
        <v>1</v>
      </c>
      <c r="F17" s="2" t="s">
        <v>3</v>
      </c>
      <c r="G17" s="2" t="s">
        <v>20</v>
      </c>
      <c r="H17" s="2" t="s">
        <v>19</v>
      </c>
      <c r="I17" s="2" t="s">
        <v>21</v>
      </c>
      <c r="J17" s="3"/>
    </row>
    <row r="18" spans="1:21" s="1" customFormat="1" x14ac:dyDescent="0.3">
      <c r="A18" s="2" t="s">
        <v>0</v>
      </c>
      <c r="B18" s="2"/>
      <c r="C18" s="2"/>
      <c r="D18" s="2"/>
      <c r="E18" s="2">
        <v>35.222070000000002</v>
      </c>
      <c r="F18" s="2">
        <v>-11.1501</v>
      </c>
      <c r="G18" s="2">
        <v>0.89319999999999999</v>
      </c>
      <c r="H18" s="2">
        <v>3.8999999999999998E-3</v>
      </c>
      <c r="I18" s="2">
        <v>-5.9999999999999995E-4</v>
      </c>
      <c r="J18" s="3"/>
    </row>
    <row r="19" spans="1:21" s="1" customForma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21" s="1" customFormat="1" x14ac:dyDescent="0.3">
      <c r="E20" s="3"/>
      <c r="F20" s="3"/>
      <c r="G20" s="3"/>
      <c r="H20" s="3"/>
      <c r="I20" s="3"/>
      <c r="J20" s="3"/>
    </row>
    <row r="21" spans="1:21" s="1" customFormat="1" x14ac:dyDescent="0.3">
      <c r="A21" s="3"/>
      <c r="B21" s="3"/>
      <c r="C21" s="3"/>
      <c r="D21" s="4"/>
      <c r="E21" s="3"/>
      <c r="F21" s="3"/>
      <c r="G21" s="3"/>
      <c r="H21" s="3"/>
      <c r="I21" s="3"/>
      <c r="J21" s="3"/>
    </row>
    <row r="22" spans="1:21" s="1" customFormat="1" x14ac:dyDescent="0.3">
      <c r="E22" s="3"/>
      <c r="F22" s="3"/>
      <c r="G22" s="3"/>
      <c r="H22" s="3"/>
      <c r="I22" s="3"/>
      <c r="J22" s="3"/>
    </row>
    <row r="23" spans="1:21" s="1" customFormat="1" x14ac:dyDescent="0.3">
      <c r="E23" s="3"/>
      <c r="F23" s="3"/>
      <c r="G23" s="3"/>
      <c r="H23" s="3"/>
      <c r="I23" s="3"/>
      <c r="J23" s="3"/>
    </row>
    <row r="24" spans="1:21" s="1" customFormat="1" x14ac:dyDescent="0.3">
      <c r="A24" s="2" t="s">
        <v>23</v>
      </c>
      <c r="B24" s="2"/>
      <c r="C24" s="2"/>
      <c r="D24" s="2"/>
      <c r="E24" s="2"/>
      <c r="F24" s="2"/>
      <c r="G24" s="2"/>
      <c r="H24" s="2"/>
      <c r="I24" s="2"/>
      <c r="J24" s="2"/>
      <c r="K24" s="1" t="s">
        <v>13</v>
      </c>
    </row>
    <row r="25" spans="1:21" s="1" customFormat="1" x14ac:dyDescent="0.3">
      <c r="A25" s="2" t="s">
        <v>0</v>
      </c>
      <c r="B25" s="2"/>
      <c r="C25" s="2" t="s">
        <v>1</v>
      </c>
      <c r="D25" s="2" t="s">
        <v>2</v>
      </c>
      <c r="E25" s="2" t="s">
        <v>6</v>
      </c>
      <c r="F25" s="2" t="s">
        <v>3</v>
      </c>
      <c r="G25" s="2" t="s">
        <v>7</v>
      </c>
      <c r="H25" s="2" t="s">
        <v>4</v>
      </c>
      <c r="I25" s="2" t="s">
        <v>8</v>
      </c>
      <c r="J25" s="2" t="s">
        <v>5</v>
      </c>
      <c r="K25" s="2" t="s">
        <v>0</v>
      </c>
      <c r="L25" s="2"/>
      <c r="M25" s="2" t="s">
        <v>1</v>
      </c>
      <c r="N25" s="2" t="s">
        <v>14</v>
      </c>
      <c r="O25" s="2" t="s">
        <v>15</v>
      </c>
      <c r="P25" s="2" t="s">
        <v>26</v>
      </c>
      <c r="Q25" s="2" t="s">
        <v>16</v>
      </c>
      <c r="R25" s="2" t="s">
        <v>3</v>
      </c>
      <c r="S25" s="2" t="s">
        <v>27</v>
      </c>
      <c r="T25" s="2" t="s">
        <v>20</v>
      </c>
    </row>
    <row r="26" spans="1:21" s="1" customFormat="1" x14ac:dyDescent="0.3">
      <c r="A26" s="2"/>
      <c r="B26" s="2"/>
      <c r="C26" s="2">
        <v>16.026230000000002</v>
      </c>
      <c r="D26" s="2">
        <v>-0.23830000000000001</v>
      </c>
      <c r="E26" s="2">
        <v>0</v>
      </c>
      <c r="F26" s="2">
        <v>-5.657</v>
      </c>
      <c r="G26" s="2">
        <v>-2.0000000000000001E-4</v>
      </c>
      <c r="H26" s="2">
        <v>3.4599999999999999E-2</v>
      </c>
      <c r="I26" s="2">
        <v>0</v>
      </c>
      <c r="J26" s="2">
        <v>0.48770000000000002</v>
      </c>
      <c r="K26" s="2"/>
      <c r="L26" s="2"/>
      <c r="M26" s="2">
        <v>-0.23599999999999999</v>
      </c>
      <c r="N26" s="2">
        <v>0</v>
      </c>
      <c r="O26" s="2">
        <v>-1.1000000000000001E-3</v>
      </c>
      <c r="P26" s="2">
        <v>-3.5700000000000003E-2</v>
      </c>
      <c r="Q26" s="2">
        <v>-0.14940000000000001</v>
      </c>
      <c r="R26" s="2">
        <v>6.8699999999999997E-2</v>
      </c>
      <c r="S26" s="2">
        <v>-1.01E-2</v>
      </c>
      <c r="T26" s="2">
        <v>5.5999999999999999E-3</v>
      </c>
    </row>
    <row r="27" spans="1:21" s="1" customForma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s="1" customForma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s="1" customFormat="1" x14ac:dyDescent="0.3">
      <c r="A29" s="5" t="s">
        <v>24</v>
      </c>
      <c r="B29" s="5"/>
      <c r="C29" s="5"/>
      <c r="D29" s="5">
        <f>-(C26+D26*Brugerflade!H3+F26*Brugerflade!G3+G26*Brugerflade!F3+H26*Brugerflade!H3*Brugerflade!G3+J26*Beregning!S4)</f>
        <v>0.61424199999999729</v>
      </c>
      <c r="E29" s="5" t="s">
        <v>25</v>
      </c>
      <c r="F29" s="5">
        <f>D29/30</f>
        <v>2.0474733333333241E-2</v>
      </c>
      <c r="G29" s="5" t="s">
        <v>33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s="1" customFormat="1" x14ac:dyDescent="0.3"/>
    <row r="31" spans="1:21" s="1" customFormat="1" x14ac:dyDescent="0.3"/>
    <row r="32" spans="1:21" s="1" customFormat="1" x14ac:dyDescent="0.3">
      <c r="C32" s="1" t="s">
        <v>11</v>
      </c>
    </row>
    <row r="33" spans="1:4" s="1" customFormat="1" x14ac:dyDescent="0.3">
      <c r="A33" s="1" t="s">
        <v>12</v>
      </c>
      <c r="B33" s="1" t="s">
        <v>9</v>
      </c>
      <c r="C33" s="1" t="s">
        <v>10</v>
      </c>
      <c r="D33" s="1" t="s">
        <v>17</v>
      </c>
    </row>
    <row r="34" spans="1:4" s="1" customFormat="1" x14ac:dyDescent="0.3">
      <c r="A34" s="1">
        <v>0</v>
      </c>
      <c r="B34" s="1">
        <f>LN(Brugerflade!$M$8)-$D$29*A34</f>
        <v>2.8919105733121788</v>
      </c>
      <c r="C34" s="1">
        <f t="shared" ref="C34:C46" si="0">EXP(B34)</f>
        <v>18.027719999999949</v>
      </c>
      <c r="D34" s="1" t="e">
        <f>$M$26+$O$26*C34+$P$26*$F$15+$Q$26*Brugerflade!$E$3+$R$26*Brugerflade!$G$3+$S$26*$F$15*$F$15+$T$26*Beregning!$S$4</f>
        <v>#REF!</v>
      </c>
    </row>
    <row r="35" spans="1:4" s="1" customFormat="1" x14ac:dyDescent="0.3">
      <c r="A35" s="1">
        <v>1</v>
      </c>
      <c r="B35" s="1">
        <f>LN(Brugerflade!$M$8)-$D$29*A35</f>
        <v>2.2776685733121815</v>
      </c>
      <c r="C35" s="1">
        <f t="shared" si="0"/>
        <v>9.75391334608614</v>
      </c>
      <c r="D35" s="1" t="e">
        <f>$M$26+$O$26*C35+$P$26*$F$15+$Q$26*Brugerflade!$E$3+$R$26*Brugerflade!$G$3+$S$26*$F$15*$F$15+$T$26*Beregning!$S$4</f>
        <v>#REF!</v>
      </c>
    </row>
    <row r="36" spans="1:4" s="1" customFormat="1" x14ac:dyDescent="0.3">
      <c r="A36" s="1">
        <v>2</v>
      </c>
      <c r="B36" s="1">
        <f>LN(Brugerflade!$M$8)-$D$29*A36</f>
        <v>1.6634265733121842</v>
      </c>
      <c r="C36" s="1">
        <f t="shared" si="0"/>
        <v>5.2773631697717507</v>
      </c>
      <c r="D36" s="1" t="e">
        <f>$M$26+$O$26*C36+$P$26*$F$15+$Q$26*Brugerflade!$E$3+$R$26*Brugerflade!$G$3+$S$26*$F$15*$F$15+$T$26*Beregning!$S$4</f>
        <v>#REF!</v>
      </c>
    </row>
    <row r="37" spans="1:4" s="1" customFormat="1" x14ac:dyDescent="0.3">
      <c r="A37" s="1">
        <v>3</v>
      </c>
      <c r="B37" s="1">
        <f>LN(Brugerflade!$M$8)-$D$29*A37</f>
        <v>1.049184573312187</v>
      </c>
      <c r="C37" s="1">
        <f t="shared" si="0"/>
        <v>2.8553218628745221</v>
      </c>
      <c r="D37" s="1" t="e">
        <f>$M$26+$O$26*C37+$P$26*$F$15+$Q$26*Brugerflade!$E$3+$R$26*Brugerflade!$G$3+$S$26*$F$15*$F$15+$T$26*Beregning!$S$4</f>
        <v>#REF!</v>
      </c>
    </row>
    <row r="38" spans="1:4" s="1" customFormat="1" x14ac:dyDescent="0.3">
      <c r="A38" s="1">
        <v>4</v>
      </c>
      <c r="B38" s="1">
        <f>LN(Brugerflade!$M$8)-$D$29*A38</f>
        <v>0.43494257331218966</v>
      </c>
      <c r="C38" s="1">
        <f t="shared" si="0"/>
        <v>1.5448743393875333</v>
      </c>
      <c r="D38" s="1" t="e">
        <f>$M$26+$O$26*C38+$P$26*$F$15+$Q$26*Brugerflade!$E$3+$R$26*Brugerflade!$G$3+$S$26*$F$15*$F$15+$T$26*Beregning!$S$4</f>
        <v>#REF!</v>
      </c>
    </row>
    <row r="39" spans="1:4" s="1" customFormat="1" x14ac:dyDescent="0.3">
      <c r="A39" s="1">
        <v>5</v>
      </c>
      <c r="B39" s="1">
        <f>LN(Brugerflade!$M$8)-$D$29*A39</f>
        <v>-0.17929942668780763</v>
      </c>
      <c r="C39" s="1">
        <f t="shared" si="0"/>
        <v>0.83585558445427999</v>
      </c>
      <c r="D39" s="1" t="e">
        <f>$M$26+$O$26*C39+$P$26*$F$15+$Q$26*Brugerflade!$E$3+$R$26*Brugerflade!$G$3+$S$26*$F$15*$F$15+$T$26*Beregning!$S$4</f>
        <v>#REF!</v>
      </c>
    </row>
    <row r="40" spans="1:4" s="1" customFormat="1" x14ac:dyDescent="0.3">
      <c r="A40" s="1">
        <v>6</v>
      </c>
      <c r="B40" s="1">
        <f>LN(Brugerflade!$M$8)-$D$29*A40</f>
        <v>-0.79354142668780492</v>
      </c>
      <c r="C40" s="1">
        <f t="shared" si="0"/>
        <v>0.45224037984888021</v>
      </c>
      <c r="D40" s="1" t="e">
        <f>$M$26+$O$26*C40+$P$26*$F$15+$Q$26*Brugerflade!$E$3+$R$26*Brugerflade!$G$3+$S$26*$F$15*$F$15+$T$26*Beregning!$S$4</f>
        <v>#REF!</v>
      </c>
    </row>
    <row r="41" spans="1:4" s="1" customFormat="1" x14ac:dyDescent="0.3">
      <c r="A41" s="1">
        <v>7</v>
      </c>
      <c r="B41" s="1">
        <f>LN(Brugerflade!$M$8)-$D$29*A41</f>
        <v>-1.4077834266878022</v>
      </c>
      <c r="C41" s="1">
        <f t="shared" si="0"/>
        <v>0.24468504484466536</v>
      </c>
      <c r="D41" s="1" t="e">
        <f>$M$26+$O$26*C41+$P$26*$F$15+$Q$26*Brugerflade!$E$3+$R$26*Brugerflade!$G$3+$S$26*$F$15*$F$15+$T$26*Beregning!$S$4</f>
        <v>#REF!</v>
      </c>
    </row>
    <row r="42" spans="1:4" s="1" customFormat="1" x14ac:dyDescent="0.3">
      <c r="A42" s="1">
        <v>8</v>
      </c>
      <c r="B42" s="1">
        <f>LN(Brugerflade!$M$8)-$D$29*A42</f>
        <v>-2.0220254266877995</v>
      </c>
      <c r="C42" s="1">
        <f t="shared" si="0"/>
        <v>0.13238705307704324</v>
      </c>
      <c r="D42" s="1" t="e">
        <f>$M$26+$O$26*C42+$P$26*$F$15+$Q$26*Brugerflade!$E$3+$R$26*Brugerflade!$G$3+$S$26*$F$15*$F$15+$T$26*Beregning!$S$4</f>
        <v>#REF!</v>
      </c>
    </row>
    <row r="43" spans="1:4" s="1" customFormat="1" x14ac:dyDescent="0.3">
      <c r="A43" s="1">
        <v>9</v>
      </c>
      <c r="B43" s="1">
        <f>LN(Brugerflade!$M$8)-$D$29*A43</f>
        <v>-2.6362674266877968</v>
      </c>
      <c r="C43" s="1">
        <f t="shared" si="0"/>
        <v>7.1628128452027762E-2</v>
      </c>
      <c r="D43" s="1" t="e">
        <f>$M$26+$O$26*C43+$P$26*$F$15+$Q$26*Brugerflade!$E$3+$R$26*Brugerflade!$G$3+$S$26*$F$15*$F$15+$T$26*Beregning!$S$4</f>
        <v>#REF!</v>
      </c>
    </row>
    <row r="44" spans="1:4" s="1" customFormat="1" x14ac:dyDescent="0.3">
      <c r="A44" s="1">
        <v>10</v>
      </c>
      <c r="B44" s="1">
        <f>LN(Brugerflade!$M$8)-$D$29*A44</f>
        <v>-3.2505094266877941</v>
      </c>
      <c r="C44" s="1">
        <f t="shared" si="0"/>
        <v>3.8754460245855153E-2</v>
      </c>
      <c r="D44" s="1" t="e">
        <f>$M$26+$O$26*C44+$P$26*$F$15+$Q$26*Brugerflade!$E$3+$R$26*Brugerflade!$G$3+$S$26*$F$15*$F$15+$T$26*Beregning!$S$4</f>
        <v>#REF!</v>
      </c>
    </row>
    <row r="45" spans="1:4" s="1" customFormat="1" x14ac:dyDescent="0.3">
      <c r="A45" s="1">
        <v>11</v>
      </c>
      <c r="B45" s="1">
        <f>LN(Brugerflade!$M$8)-$D$29*A45</f>
        <v>-3.8647514266877914</v>
      </c>
      <c r="C45" s="1">
        <f t="shared" si="0"/>
        <v>2.096813390780489E-2</v>
      </c>
      <c r="D45" s="1" t="e">
        <f>$M$26+$O$26*C45+$P$26*$F$15+$Q$26*Brugerflade!$E$3+$R$26*Brugerflade!$G$3+$S$26*$F$15*$F$15+$T$26*Beregning!$S$4</f>
        <v>#REF!</v>
      </c>
    </row>
    <row r="46" spans="1:4" s="1" customFormat="1" x14ac:dyDescent="0.3">
      <c r="A46" s="1">
        <v>12</v>
      </c>
      <c r="B46" s="1">
        <f>LN(Brugerflade!$M$8)-$D$29*A46</f>
        <v>-4.4789934266877882</v>
      </c>
      <c r="C46" s="1">
        <f t="shared" si="0"/>
        <v>1.1344826809261523E-2</v>
      </c>
      <c r="D46" s="1" t="e">
        <f>$M$26+$O$26*C46+$P$26*$F$15+$Q$26*Brugerflade!$E$3+$R$26*Brugerflade!$G$3+$S$26*$F$15*$F$15+$T$26*Beregning!$S$4</f>
        <v>#REF!</v>
      </c>
    </row>
    <row r="47" spans="1:4" s="1" customFormat="1" x14ac:dyDescent="0.3"/>
    <row r="48" spans="1:4" s="1" customFormat="1" x14ac:dyDescent="0.3">
      <c r="C48" s="1" t="s">
        <v>11</v>
      </c>
    </row>
    <row r="49" spans="1:4" s="1" customFormat="1" x14ac:dyDescent="0.3">
      <c r="A49" s="1" t="s">
        <v>32</v>
      </c>
      <c r="B49" s="1" t="s">
        <v>9</v>
      </c>
      <c r="C49" s="1" t="s">
        <v>10</v>
      </c>
      <c r="D49" s="1" t="s">
        <v>17</v>
      </c>
    </row>
    <row r="50" spans="1:4" s="1" customFormat="1" x14ac:dyDescent="0.3">
      <c r="A50" s="1">
        <v>0</v>
      </c>
      <c r="B50" s="1">
        <f>LN(Brugerflade!$M$8)-$F$29*A50</f>
        <v>2.8919105733121788</v>
      </c>
      <c r="C50" s="1">
        <f t="shared" ref="C50:C81" si="1">EXP(B50)</f>
        <v>18.027719999999949</v>
      </c>
      <c r="D50" s="1" t="e">
        <f>$M$26+$O$26*C50+$P$26*$F$15+$Q$26*Brugerflade!$E$3+$R$26*Brugerflade!$G$3+$S$26*$F$15*$F$15+$T$26*Beregning!$S$4</f>
        <v>#REF!</v>
      </c>
    </row>
    <row r="51" spans="1:4" s="1" customFormat="1" x14ac:dyDescent="0.3">
      <c r="A51" s="1">
        <v>5</v>
      </c>
      <c r="B51" s="1">
        <f>LN(Brugerflade!$M$8)-$F$29*A51</f>
        <v>2.7895369066455125</v>
      </c>
      <c r="C51" s="1">
        <f t="shared" si="1"/>
        <v>16.27348191522124</v>
      </c>
      <c r="D51" s="1" t="e">
        <f>$M$26+$O$26*C51+$P$26*$F$15+$Q$26*Brugerflade!$E$3+$R$26*Brugerflade!$G$3+$S$26*$F$15*$F$15+$T$26*Beregning!$S$4</f>
        <v>#REF!</v>
      </c>
    </row>
    <row r="52" spans="1:4" s="1" customFormat="1" x14ac:dyDescent="0.3">
      <c r="A52" s="1">
        <v>10</v>
      </c>
      <c r="B52" s="1">
        <f>LN(Brugerflade!$M$8)-$F$29*A52</f>
        <v>2.6871632399788465</v>
      </c>
      <c r="C52" s="1">
        <f t="shared" si="1"/>
        <v>14.68994490956336</v>
      </c>
      <c r="D52" s="1" t="e">
        <f>$M$26+$O$26*C52+$P$26*$F$15+$Q$26*Brugerflade!$E$3+$R$26*Brugerflade!$G$3+$S$26*$F$15*$F$15+$T$26*Beregning!$S$4</f>
        <v>#REF!</v>
      </c>
    </row>
    <row r="53" spans="1:4" s="1" customFormat="1" x14ac:dyDescent="0.3">
      <c r="A53" s="1">
        <v>15</v>
      </c>
      <c r="B53" s="1">
        <f>LN(Brugerflade!$M$8)-$F$29*A53</f>
        <v>2.5847895733121802</v>
      </c>
      <c r="C53" s="1">
        <f t="shared" si="1"/>
        <v>13.26049843359983</v>
      </c>
      <c r="D53" s="1" t="e">
        <f>$M$26+$O$26*C53+$P$26*$F$15+$Q$26*Brugerflade!$E$3+$R$26*Brugerflade!$G$3+$S$26*$F$15*$F$15+$T$26*Beregning!$S$4</f>
        <v>#REF!</v>
      </c>
    </row>
    <row r="54" spans="1:4" s="1" customFormat="1" x14ac:dyDescent="0.3">
      <c r="A54" s="1">
        <v>20</v>
      </c>
      <c r="B54" s="1">
        <f>LN(Brugerflade!$M$8)-$F$29*A54</f>
        <v>2.4824159066455138</v>
      </c>
      <c r="C54" s="1">
        <f t="shared" si="1"/>
        <v>11.970148274213656</v>
      </c>
      <c r="D54" s="1" t="e">
        <f>$M$26+$O$26*C54+$P$26*$F$15+$Q$26*Brugerflade!$E$3+$R$26*Brugerflade!$G$3+$S$26*$F$15*$F$15+$T$26*Beregning!$S$4</f>
        <v>#REF!</v>
      </c>
    </row>
    <row r="55" spans="1:4" s="1" customFormat="1" x14ac:dyDescent="0.3">
      <c r="A55" s="1">
        <v>25</v>
      </c>
      <c r="B55" s="1">
        <f>LN(Brugerflade!$M$8)-$F$29*A55</f>
        <v>2.3800422399788479</v>
      </c>
      <c r="C55" s="1">
        <f t="shared" si="1"/>
        <v>10.80535927243896</v>
      </c>
      <c r="D55" s="1" t="e">
        <f>$M$26+$O$26*C55+$P$26*$F$15+$Q$26*Brugerflade!$E$3+$R$26*Brugerflade!$G$3+$S$26*$F$15*$F$15+$T$26*Beregning!$S$4</f>
        <v>#REF!</v>
      </c>
    </row>
    <row r="56" spans="1:4" s="1" customFormat="1" x14ac:dyDescent="0.3">
      <c r="A56" s="1">
        <v>30</v>
      </c>
      <c r="B56" s="1">
        <f>LN(Brugerflade!$M$8)-$F$29*A56</f>
        <v>2.2776685733121815</v>
      </c>
      <c r="C56" s="1">
        <f t="shared" si="1"/>
        <v>9.75391334608614</v>
      </c>
      <c r="D56" s="1" t="e">
        <f>$M$26+$O$26*C56+$P$26*$F$15+$Q$26*Brugerflade!$E$3+$R$26*Brugerflade!$G$3+$S$26*$F$15*$F$15+$T$26*Beregning!$S$4</f>
        <v>#REF!</v>
      </c>
    </row>
    <row r="57" spans="1:4" s="1" customFormat="1" x14ac:dyDescent="0.3">
      <c r="A57" s="1">
        <v>35</v>
      </c>
      <c r="B57" s="1">
        <f>LN(Brugerflade!$M$8)-$F$29*A57</f>
        <v>2.1752949066455152</v>
      </c>
      <c r="C57" s="1">
        <f t="shared" si="1"/>
        <v>8.8047813278755349</v>
      </c>
      <c r="D57" s="1" t="e">
        <f>$M$26+$O$26*C57+$P$26*$F$15+$Q$26*Brugerflade!$E$3+$R$26*Brugerflade!$G$3+$S$26*$F$15*$F$15+$T$26*Beregning!$S$4</f>
        <v>#REF!</v>
      </c>
    </row>
    <row r="58" spans="1:4" s="1" customFormat="1" x14ac:dyDescent="0.3">
      <c r="A58" s="1">
        <v>40</v>
      </c>
      <c r="B58" s="1">
        <f>LN(Brugerflade!$M$8)-$F$29*A58</f>
        <v>2.0729212399788493</v>
      </c>
      <c r="C58" s="1">
        <f t="shared" si="1"/>
        <v>7.9480072747225172</v>
      </c>
      <c r="D58" s="1" t="e">
        <f>$M$26+$O$26*C58+$P$26*$F$15+$Q$26*Brugerflade!$E$3+$R$26*Brugerflade!$G$3+$S$26*$F$15*$F$15+$T$26*Beregning!$S$4</f>
        <v>#REF!</v>
      </c>
    </row>
    <row r="59" spans="1:4" s="1" customFormat="1" x14ac:dyDescent="0.3">
      <c r="A59" s="1">
        <v>45</v>
      </c>
      <c r="B59" s="1">
        <f>LN(Brugerflade!$M$8)-$F$29*A59</f>
        <v>1.9705475733121829</v>
      </c>
      <c r="C59" s="1">
        <f t="shared" si="1"/>
        <v>7.1746040346335587</v>
      </c>
      <c r="D59" s="1" t="e">
        <f>$M$26+$O$26*C59+$P$26*$F$15+$Q$26*Brugerflade!$E$3+$R$26*Brugerflade!$G$3+$S$26*$F$15*$F$15+$T$26*Beregning!$S$4</f>
        <v>#REF!</v>
      </c>
    </row>
    <row r="60" spans="1:4" s="1" customFormat="1" x14ac:dyDescent="0.3">
      <c r="A60" s="1">
        <v>50</v>
      </c>
      <c r="B60" s="1">
        <f>LN(Brugerflade!$M$8)-$F$29*A60</f>
        <v>1.8681739066455167</v>
      </c>
      <c r="C60" s="1">
        <f t="shared" si="1"/>
        <v>6.476458975759714</v>
      </c>
      <c r="D60" s="1" t="e">
        <f>$M$26+$O$26*C60+$P$26*$F$15+$Q$26*Brugerflade!$E$3+$R$26*Brugerflade!$G$3+$S$26*$F$15*$F$15+$T$26*Beregning!$S$4</f>
        <v>#REF!</v>
      </c>
    </row>
    <row r="61" spans="1:4" s="1" customFormat="1" x14ac:dyDescent="0.3">
      <c r="A61" s="1">
        <v>55</v>
      </c>
      <c r="B61" s="1">
        <f>LN(Brugerflade!$M$8)-$F$29*A61</f>
        <v>1.7658002399788506</v>
      </c>
      <c r="C61" s="1">
        <f t="shared" si="1"/>
        <v>5.8462488887501189</v>
      </c>
      <c r="D61" s="1" t="e">
        <f>$M$26+$O$26*C61+$P$26*$F$15+$Q$26*Brugerflade!$E$3+$R$26*Brugerflade!$G$3+$S$26*$F$15*$F$15+$T$26*Beregning!$S$4</f>
        <v>#REF!</v>
      </c>
    </row>
    <row r="62" spans="1:4" s="1" customFormat="1" x14ac:dyDescent="0.3">
      <c r="A62" s="1">
        <v>60</v>
      </c>
      <c r="B62" s="1">
        <f>LN(Brugerflade!$M$8)-$F$29*A62</f>
        <v>1.6634265733121842</v>
      </c>
      <c r="C62" s="1">
        <f t="shared" si="1"/>
        <v>5.2773631697717507</v>
      </c>
      <c r="D62" s="1" t="e">
        <f>$M$26+$O$26*C62+$P$26*$F$15+$Q$26*Brugerflade!$E$3+$R$26*Brugerflade!$G$3+$S$26*$F$15*$F$15+$T$26*Beregning!$S$4</f>
        <v>#REF!</v>
      </c>
    </row>
    <row r="63" spans="1:4" s="1" customFormat="1" x14ac:dyDescent="0.3">
      <c r="A63" s="1">
        <v>65</v>
      </c>
      <c r="B63" s="1">
        <f>LN(Brugerflade!$M$8)-$F$29*A63</f>
        <v>1.5610529066455181</v>
      </c>
      <c r="C63" s="1">
        <f t="shared" si="1"/>
        <v>4.7638344784218685</v>
      </c>
      <c r="D63" s="1" t="e">
        <f>$M$26+$O$26*C63+$P$26*$F$15+$Q$26*Brugerflade!$E$3+$R$26*Brugerflade!$G$3+$S$26*$F$15*$F$15+$T$26*Beregning!$S$4</f>
        <v>#REF!</v>
      </c>
    </row>
    <row r="64" spans="1:4" s="1" customFormat="1" x14ac:dyDescent="0.3">
      <c r="A64" s="1">
        <v>70</v>
      </c>
      <c r="B64" s="1">
        <f>LN(Brugerflade!$M$8)-$F$29*A64</f>
        <v>1.458679239978852</v>
      </c>
      <c r="C64" s="1">
        <f t="shared" si="1"/>
        <v>4.3002761431676282</v>
      </c>
      <c r="D64" s="1" t="e">
        <f>$M$26+$O$26*C64+$P$26*$F$15+$Q$26*Brugerflade!$E$3+$R$26*Brugerflade!$G$3+$S$26*$F$15*$F$15+$T$26*Beregning!$S$4</f>
        <v>#REF!</v>
      </c>
    </row>
    <row r="65" spans="1:4" s="1" customFormat="1" x14ac:dyDescent="0.3">
      <c r="A65" s="1">
        <v>75</v>
      </c>
      <c r="B65" s="1">
        <f>LN(Brugerflade!$M$8)-$F$29*A65</f>
        <v>1.3563055733121858</v>
      </c>
      <c r="C65" s="1">
        <f t="shared" si="1"/>
        <v>3.8818256577257659</v>
      </c>
      <c r="D65" s="1" t="e">
        <f>$M$26+$O$26*C65+$P$26*$F$15+$Q$26*Brugerflade!$E$3+$R$26*Brugerflade!$G$3+$S$26*$F$15*$F$15+$T$26*Beregning!$S$4</f>
        <v>#REF!</v>
      </c>
    </row>
    <row r="66" spans="1:4" s="1" customFormat="1" x14ac:dyDescent="0.3">
      <c r="A66" s="1">
        <v>80</v>
      </c>
      <c r="B66" s="1">
        <f>LN(Brugerflade!$M$8)-$F$29*A66</f>
        <v>1.2539319066455195</v>
      </c>
      <c r="C66" s="1">
        <f t="shared" si="1"/>
        <v>3.5040936756862333</v>
      </c>
      <c r="D66" s="1" t="e">
        <f>$M$26+$O$26*C66+$P$26*$F$15+$Q$26*Brugerflade!$E$3+$R$26*Brugerflade!$G$3+$S$26*$F$15*$F$15+$T$26*Beregning!$S$4</f>
        <v>#REF!</v>
      </c>
    </row>
    <row r="67" spans="1:4" s="1" customFormat="1" x14ac:dyDescent="0.3">
      <c r="A67" s="1">
        <v>85</v>
      </c>
      <c r="B67" s="1">
        <f>LN(Brugerflade!$M$8)-$F$29*A67</f>
        <v>1.1515582399788533</v>
      </c>
      <c r="C67" s="1">
        <f t="shared" si="1"/>
        <v>3.1631179683576853</v>
      </c>
      <c r="D67" s="1" t="e">
        <f>$M$26+$O$26*C67+$P$26*$F$15+$Q$26*Brugerflade!$E$3+$R$26*Brugerflade!$G$3+$S$26*$F$15*$F$15+$T$26*Beregning!$S$4</f>
        <v>#REF!</v>
      </c>
    </row>
    <row r="68" spans="1:4" s="1" customFormat="1" x14ac:dyDescent="0.3">
      <c r="A68" s="1">
        <v>90</v>
      </c>
      <c r="B68" s="1">
        <f>LN(Brugerflade!$M$8)-$F$29*A68</f>
        <v>1.0491845733121872</v>
      </c>
      <c r="C68" s="1">
        <f t="shared" si="1"/>
        <v>2.8553218628745229</v>
      </c>
      <c r="D68" s="1" t="e">
        <f>$M$26+$O$26*C68+$P$26*$F$15+$Q$26*Brugerflade!$E$3+$R$26*Brugerflade!$G$3+$S$26*$F$15*$F$15+$T$26*Beregning!$S$4</f>
        <v>#REF!</v>
      </c>
    </row>
    <row r="69" spans="1:4" s="1" customFormat="1" x14ac:dyDescent="0.3">
      <c r="A69" s="1">
        <v>95</v>
      </c>
      <c r="B69" s="1">
        <f>LN(Brugerflade!$M$8)-$F$29*A69</f>
        <v>0.94681090664552081</v>
      </c>
      <c r="C69" s="1">
        <f t="shared" si="1"/>
        <v>2.5774767246010311</v>
      </c>
      <c r="D69" s="1" t="e">
        <f>$M$26+$O$26*C69+$P$26*$F$15+$Q$26*Brugerflade!$E$3+$R$26*Brugerflade!$G$3+$S$26*$F$15*$F$15+$T$26*Beregning!$S$4</f>
        <v>#REF!</v>
      </c>
    </row>
    <row r="70" spans="1:4" s="1" customFormat="1" x14ac:dyDescent="0.3">
      <c r="A70" s="1">
        <v>100</v>
      </c>
      <c r="B70" s="1">
        <f>LN(Brugerflade!$M$8)-$F$29*A70</f>
        <v>0.84443723997885467</v>
      </c>
      <c r="C70" s="1">
        <f t="shared" si="1"/>
        <v>2.3266680902908785</v>
      </c>
      <c r="D70" s="1" t="e">
        <f>$M$26+$O$26*C70+$P$26*$F$15+$Q$26*Brugerflade!$E$3+$R$26*Brugerflade!$G$3+$S$26*$F$15*$F$15+$T$26*Beregning!$S$4</f>
        <v>#REF!</v>
      </c>
    </row>
    <row r="71" spans="1:4" s="1" customFormat="1" x14ac:dyDescent="0.3">
      <c r="A71" s="1">
        <v>105</v>
      </c>
      <c r="B71" s="1">
        <f>LN(Brugerflade!$M$8)-$F$29*A71</f>
        <v>0.74206357331218831</v>
      </c>
      <c r="C71" s="1">
        <f t="shared" si="1"/>
        <v>2.1002650967549448</v>
      </c>
      <c r="D71" s="1" t="e">
        <f>$M$26+$O$26*C71+$P$26*$F$15+$Q$26*Brugerflade!$E$3+$R$26*Brugerflade!$G$3+$S$26*$F$15*$F$15+$T$26*Beregning!$S$4</f>
        <v>#REF!</v>
      </c>
    </row>
    <row r="72" spans="1:4" s="1" customFormat="1" x14ac:dyDescent="0.3">
      <c r="A72" s="1">
        <v>110</v>
      </c>
      <c r="B72" s="1">
        <f>LN(Brugerflade!$M$8)-$F$29*A72</f>
        <v>0.63968990664552239</v>
      </c>
      <c r="C72" s="1">
        <f t="shared" si="1"/>
        <v>1.8958928843587595</v>
      </c>
      <c r="D72" s="1" t="e">
        <f>$M$26+$O$26*C72+$P$26*$F$15+$Q$26*Brugerflade!$E$3+$R$26*Brugerflade!$G$3+$S$26*$F$15*$F$15+$T$26*Beregning!$S$4</f>
        <v>#REF!</v>
      </c>
    </row>
    <row r="73" spans="1:4" s="1" customFormat="1" x14ac:dyDescent="0.3">
      <c r="A73" s="1">
        <v>115</v>
      </c>
      <c r="B73" s="1">
        <f>LN(Brugerflade!$M$8)-$F$29*A73</f>
        <v>0.53731623997885603</v>
      </c>
      <c r="C73" s="1">
        <f t="shared" si="1"/>
        <v>1.7114076858753624</v>
      </c>
      <c r="D73" s="1" t="e">
        <f>$M$26+$O$26*C73+$P$26*$F$15+$Q$26*Brugerflade!$E$3+$R$26*Brugerflade!$G$3+$S$26*$F$15*$F$15+$T$26*Beregning!$S$4</f>
        <v>#REF!</v>
      </c>
    </row>
    <row r="74" spans="1:4" s="1" customFormat="1" x14ac:dyDescent="0.3">
      <c r="A74" s="1">
        <v>120</v>
      </c>
      <c r="B74" s="1">
        <f>LN(Brugerflade!$M$8)-$F$29*A74</f>
        <v>0.43494257331218966</v>
      </c>
      <c r="C74" s="1">
        <f t="shared" si="1"/>
        <v>1.5448743393875333</v>
      </c>
      <c r="D74" s="1" t="e">
        <f>$M$26+$O$26*C74+$P$26*$F$15+$Q$26*Brugerflade!$E$3+$R$26*Brugerflade!$G$3+$S$26*$F$15*$F$15+$T$26*Beregning!$S$4</f>
        <v>#REF!</v>
      </c>
    </row>
    <row r="75" spans="1:4" s="1" customFormat="1" x14ac:dyDescent="0.3">
      <c r="A75" s="1">
        <v>125</v>
      </c>
      <c r="B75" s="1">
        <f>LN(Brugerflade!$M$8)-$F$29*A75</f>
        <v>0.33256890664552374</v>
      </c>
      <c r="C75" s="1">
        <f t="shared" si="1"/>
        <v>1.3945459893604106</v>
      </c>
      <c r="D75" s="1" t="e">
        <f>$M$26+$O$26*C75+$P$26*$F$15+$Q$26*Brugerflade!$E$3+$R$26*Brugerflade!$G$3+$S$26*$F$15*$F$15+$T$26*Beregning!$S$4</f>
        <v>#REF!</v>
      </c>
    </row>
    <row r="76" spans="1:4" s="1" customFormat="1" x14ac:dyDescent="0.3">
      <c r="A76" s="1">
        <v>130</v>
      </c>
      <c r="B76" s="1">
        <f>LN(Brugerflade!$M$8)-$F$29*A76</f>
        <v>0.23019523997885738</v>
      </c>
      <c r="C76" s="1">
        <f t="shared" si="1"/>
        <v>1.2588457629584338</v>
      </c>
      <c r="D76" s="1" t="e">
        <f>$M$26+$O$26*C76+$P$26*$F$15+$Q$26*Brugerflade!$E$3+$R$26*Brugerflade!$G$3+$S$26*$F$15*$F$15+$T$26*Beregning!$S$4</f>
        <v>#REF!</v>
      </c>
    </row>
    <row r="77" spans="1:4" s="1" customFormat="1" x14ac:dyDescent="0.3">
      <c r="A77" s="1">
        <v>135</v>
      </c>
      <c r="B77" s="1">
        <f>LN(Brugerflade!$M$8)-$F$29*A77</f>
        <v>0.12782157331219102</v>
      </c>
      <c r="C77" s="1">
        <f t="shared" si="1"/>
        <v>1.1363502293998915</v>
      </c>
      <c r="D77" s="1" t="e">
        <f>$M$26+$O$26*C77+$P$26*$F$15+$Q$26*Brugerflade!$E$3+$R$26*Brugerflade!$G$3+$S$26*$F$15*$F$15+$T$26*Beregning!$S$4</f>
        <v>#REF!</v>
      </c>
    </row>
    <row r="78" spans="1:4" s="1" customFormat="1" x14ac:dyDescent="0.3">
      <c r="A78" s="1">
        <v>140</v>
      </c>
      <c r="B78" s="1">
        <f>LN(Brugerflade!$M$8)-$F$29*A78</f>
        <v>2.5447906645525098E-2</v>
      </c>
      <c r="C78" s="1">
        <f t="shared" si="1"/>
        <v>1.0257744688455723</v>
      </c>
      <c r="D78" s="1" t="e">
        <f>$M$26+$O$26*C78+$P$26*$F$15+$Q$26*Brugerflade!$E$3+$R$26*Brugerflade!$G$3+$S$26*$F$15*$F$15+$T$26*Beregning!$S$4</f>
        <v>#REF!</v>
      </c>
    </row>
    <row r="79" spans="1:4" s="1" customFormat="1" x14ac:dyDescent="0.3">
      <c r="A79" s="1">
        <v>145</v>
      </c>
      <c r="B79" s="1">
        <f>LN(Brugerflade!$M$8)-$F$29*A79</f>
        <v>-7.6925760021141265E-2</v>
      </c>
      <c r="C79" s="1">
        <f t="shared" si="1"/>
        <v>0.92595859420127125</v>
      </c>
      <c r="D79" s="1" t="e">
        <f>$M$26+$O$26*C79+$P$26*$F$15+$Q$26*Brugerflade!$E$3+$R$26*Brugerflade!$G$3+$S$26*$F$15*$F$15+$T$26*Beregning!$S$4</f>
        <v>#REF!</v>
      </c>
    </row>
    <row r="80" spans="1:4" s="1" customFormat="1" x14ac:dyDescent="0.3">
      <c r="A80" s="1">
        <v>150</v>
      </c>
      <c r="B80" s="1">
        <f>LN(Brugerflade!$M$8)-$F$29*A80</f>
        <v>-0.17929942668780718</v>
      </c>
      <c r="C80" s="1">
        <f t="shared" si="1"/>
        <v>0.83585558445428032</v>
      </c>
      <c r="D80" s="1" t="e">
        <f>$M$26+$O$26*C80+$P$26*$F$15+$Q$26*Brugerflade!$E$3+$R$26*Brugerflade!$G$3+$S$26*$F$15*$F$15+$T$26*Beregning!$S$4</f>
        <v>#REF!</v>
      </c>
    </row>
    <row r="81" spans="1:4" s="1" customFormat="1" x14ac:dyDescent="0.3">
      <c r="A81" s="1">
        <v>155</v>
      </c>
      <c r="B81" s="1">
        <f>LN(Brugerflade!$M$8)-$F$29*A81</f>
        <v>-0.28167309335447355</v>
      </c>
      <c r="C81" s="1">
        <f t="shared" si="1"/>
        <v>0.75452030192134378</v>
      </c>
      <c r="D81" s="1" t="e">
        <f>$M$26+$O$26*C81+$P$26*$F$15+$Q$26*Brugerflade!$E$3+$R$26*Brugerflade!$G$3+$S$26*$F$15*$F$15+$T$26*Beregning!$S$4</f>
        <v>#REF!</v>
      </c>
    </row>
    <row r="82" spans="1:4" s="1" customFormat="1" x14ac:dyDescent="0.3">
      <c r="A82" s="1">
        <v>160</v>
      </c>
      <c r="B82" s="1">
        <f>LN(Brugerflade!$M$8)-$F$29*A82</f>
        <v>-0.38404676002113991</v>
      </c>
      <c r="C82" s="1">
        <f t="shared" ref="C82:C113" si="2">EXP(B82)</f>
        <v>0.68109957820424838</v>
      </c>
      <c r="D82" s="1" t="e">
        <f>$M$26+$O$26*C82+$P$26*$F$15+$Q$26*Brugerflade!$E$3+$R$26*Brugerflade!$G$3+$S$26*$F$15*$F$15+$T$26*Beregning!$S$4</f>
        <v>#REF!</v>
      </c>
    </row>
    <row r="83" spans="1:4" s="1" customFormat="1" x14ac:dyDescent="0.3">
      <c r="A83" s="1">
        <v>165</v>
      </c>
      <c r="B83" s="1">
        <f>LN(Brugerflade!$M$8)-$F$29*A83</f>
        <v>-0.48642042668780583</v>
      </c>
      <c r="C83" s="1">
        <f t="shared" si="2"/>
        <v>0.61482326485943228</v>
      </c>
      <c r="D83" s="1" t="e">
        <f>$M$26+$O$26*C83+$P$26*$F$15+$Q$26*Brugerflade!$E$3+$R$26*Brugerflade!$G$3+$S$26*$F$15*$F$15+$T$26*Beregning!$S$4</f>
        <v>#REF!</v>
      </c>
    </row>
    <row r="84" spans="1:4" s="1" customFormat="1" x14ac:dyDescent="0.3">
      <c r="A84" s="1">
        <v>170</v>
      </c>
      <c r="B84" s="1">
        <f>LN(Brugerflade!$M$8)-$F$29*A84</f>
        <v>-0.58879409335447219</v>
      </c>
      <c r="C84" s="1">
        <f t="shared" si="2"/>
        <v>0.55499615490740251</v>
      </c>
      <c r="D84" s="1" t="e">
        <f>$M$26+$O$26*C84+$P$26*$F$15+$Q$26*Brugerflade!$E$3+$R$26*Brugerflade!$G$3+$S$26*$F$15*$F$15+$T$26*Beregning!$S$4</f>
        <v>#REF!</v>
      </c>
    </row>
    <row r="85" spans="1:4" s="1" customFormat="1" x14ac:dyDescent="0.3">
      <c r="A85" s="1">
        <v>175</v>
      </c>
      <c r="B85" s="1">
        <f>LN(Brugerflade!$M$8)-$F$29*A85</f>
        <v>-0.69116776002113856</v>
      </c>
      <c r="C85" s="1">
        <f t="shared" si="2"/>
        <v>0.50099069044243894</v>
      </c>
      <c r="D85" s="1" t="e">
        <f>$M$26+$O$26*C85+$P$26*$F$15+$Q$26*Brugerflade!$E$3+$R$26*Brugerflade!$G$3+$S$26*$F$15*$F$15+$T$26*Beregning!$S$4</f>
        <v>#REF!</v>
      </c>
    </row>
    <row r="86" spans="1:4" s="1" customFormat="1" x14ac:dyDescent="0.3">
      <c r="A86" s="1">
        <v>180</v>
      </c>
      <c r="B86" s="1">
        <f>LN(Brugerflade!$M$8)-$F$29*A86</f>
        <v>-0.79354142668780447</v>
      </c>
      <c r="C86" s="1">
        <f t="shared" si="2"/>
        <v>0.45224037984888044</v>
      </c>
      <c r="D86" s="1" t="e">
        <f>$M$26+$O$26*C86+$P$26*$F$15+$Q$26*Brugerflade!$E$3+$R$26*Brugerflade!$G$3+$S$26*$F$15*$F$15+$T$26*Beregning!$S$4</f>
        <v>#REF!</v>
      </c>
    </row>
    <row r="87" spans="1:4" s="1" customFormat="1" x14ac:dyDescent="0.3">
      <c r="A87" s="1">
        <v>185</v>
      </c>
      <c r="B87" s="1">
        <f>LN(Brugerflade!$M$8)-$F$29*A87</f>
        <v>-0.89591509335447084</v>
      </c>
      <c r="C87" s="1">
        <f t="shared" si="2"/>
        <v>0.40823385557372532</v>
      </c>
      <c r="D87" s="1" t="e">
        <f>$M$26+$O$26*C87+$P$26*$F$15+$Q$26*Brugerflade!$E$3+$R$26*Brugerflade!$G$3+$S$26*$F$15*$F$15+$T$26*Beregning!$S$4</f>
        <v>#REF!</v>
      </c>
    </row>
    <row r="88" spans="1:4" s="1" customFormat="1" x14ac:dyDescent="0.3">
      <c r="A88" s="1">
        <v>190</v>
      </c>
      <c r="B88" s="1">
        <f>LN(Brugerflade!$M$8)-$F$29*A88</f>
        <v>-0.9982887600211372</v>
      </c>
      <c r="C88" s="1">
        <f t="shared" si="2"/>
        <v>0.36850951012441269</v>
      </c>
      <c r="D88" s="1" t="e">
        <f>$M$26+$O$26*C88+$P$26*$F$15+$Q$26*Brugerflade!$E$3+$R$26*Brugerflade!$G$3+$S$26*$F$15*$F$15+$T$26*Beregning!$S$4</f>
        <v>#REF!</v>
      </c>
    </row>
    <row r="89" spans="1:4" s="1" customFormat="1" x14ac:dyDescent="0.3">
      <c r="A89" s="1">
        <v>195</v>
      </c>
      <c r="B89" s="1">
        <f>LN(Brugerflade!$M$8)-$F$29*A89</f>
        <v>-1.1006624266878031</v>
      </c>
      <c r="C89" s="1">
        <f t="shared" si="2"/>
        <v>0.33265065402594934</v>
      </c>
      <c r="D89" s="1" t="e">
        <f>$M$26+$O$26*C89+$P$26*$F$15+$Q$26*Brugerflade!$E$3+$R$26*Brugerflade!$G$3+$S$26*$F$15*$F$15+$T$26*Beregning!$S$4</f>
        <v>#REF!</v>
      </c>
    </row>
    <row r="90" spans="1:4" s="1" customFormat="1" x14ac:dyDescent="0.3">
      <c r="A90" s="1">
        <v>200</v>
      </c>
      <c r="B90" s="1">
        <f>LN(Brugerflade!$M$8)-$F$29*A90</f>
        <v>-1.2030360933544695</v>
      </c>
      <c r="C90" s="1">
        <f t="shared" si="2"/>
        <v>0.30028114494666097</v>
      </c>
      <c r="D90" s="1" t="e">
        <f>$M$26+$O$26*C90+$P$26*$F$15+$Q$26*Brugerflade!$E$3+$R$26*Brugerflade!$G$3+$S$26*$F$15*$F$15+$T$26*Beregning!$S$4</f>
        <v>#REF!</v>
      </c>
    </row>
    <row r="91" spans="1:4" s="1" customFormat="1" x14ac:dyDescent="0.3">
      <c r="A91" s="1">
        <v>205</v>
      </c>
      <c r="B91" s="1">
        <f>LN(Brugerflade!$M$8)-$F$29*A91</f>
        <v>-1.3054097600211354</v>
      </c>
      <c r="C91" s="1">
        <f t="shared" si="2"/>
        <v>0.27106144214417749</v>
      </c>
      <c r="D91" s="1" t="e">
        <f>$M$26+$O$26*C91+$P$26*$F$15+$Q$26*Brugerflade!$E$3+$R$26*Brugerflade!$G$3+$S$26*$F$15*$F$15+$T$26*Beregning!$S$4</f>
        <v>#REF!</v>
      </c>
    </row>
    <row r="92" spans="1:4" s="1" customFormat="1" x14ac:dyDescent="0.3">
      <c r="A92" s="1">
        <v>210</v>
      </c>
      <c r="B92" s="1">
        <f>LN(Brugerflade!$M$8)-$F$29*A92</f>
        <v>-1.4077834266878022</v>
      </c>
      <c r="C92" s="1">
        <f t="shared" si="2"/>
        <v>0.24468504484466536</v>
      </c>
      <c r="D92" s="1" t="e">
        <f>$M$26+$O$26*C92+$P$26*$F$15+$Q$26*Brugerflade!$E$3+$R$26*Brugerflade!$G$3+$S$26*$F$15*$F$15+$T$26*Beregning!$S$4</f>
        <v>#REF!</v>
      </c>
    </row>
    <row r="93" spans="1:4" s="1" customFormat="1" x14ac:dyDescent="0.3">
      <c r="A93" s="1">
        <v>215</v>
      </c>
      <c r="B93" s="1">
        <f>LN(Brugerflade!$M$8)-$F$29*A93</f>
        <v>-1.5101570933544681</v>
      </c>
      <c r="C93" s="1">
        <f t="shared" si="2"/>
        <v>0.22087527719560612</v>
      </c>
      <c r="D93" s="1" t="e">
        <f>$M$26+$O$26*C93+$P$26*$F$15+$Q$26*Brugerflade!$E$3+$R$26*Brugerflade!$G$3+$S$26*$F$15*$F$15+$T$26*Beregning!$S$4</f>
        <v>#REF!</v>
      </c>
    </row>
    <row r="94" spans="1:4" s="1" customFormat="1" x14ac:dyDescent="0.3">
      <c r="A94" s="1">
        <v>220</v>
      </c>
      <c r="B94" s="1">
        <f>LN(Brugerflade!$M$8)-$F$29*A94</f>
        <v>-1.612530760021134</v>
      </c>
      <c r="C94" s="1">
        <f t="shared" si="2"/>
        <v>0.19938238606779926</v>
      </c>
      <c r="D94" s="1" t="e">
        <f>$M$26+$O$26*C94+$P$26*$F$15+$Q$26*Brugerflade!$E$3+$R$26*Brugerflade!$G$3+$S$26*$F$15*$F$15+$T$26*Beregning!$S$4</f>
        <v>#REF!</v>
      </c>
    </row>
    <row r="95" spans="1:4" s="1" customFormat="1" x14ac:dyDescent="0.3">
      <c r="A95" s="1">
        <v>225</v>
      </c>
      <c r="B95" s="1">
        <f>LN(Brugerflade!$M$8)-$F$29*A95</f>
        <v>-1.7149044266878009</v>
      </c>
      <c r="C95" s="1">
        <f t="shared" si="2"/>
        <v>0.17998092126392012</v>
      </c>
      <c r="D95" s="1" t="e">
        <f>$M$26+$O$26*C95+$P$26*$F$15+$Q$26*Brugerflade!$E$3+$R$26*Brugerflade!$G$3+$S$26*$F$15*$F$15+$T$26*Beregning!$S$4</f>
        <v>#REF!</v>
      </c>
    </row>
    <row r="96" spans="1:4" s="1" customFormat="1" x14ac:dyDescent="0.3">
      <c r="A96" s="1">
        <v>230</v>
      </c>
      <c r="B96" s="1">
        <f>LN(Brugerflade!$M$8)-$F$29*A96</f>
        <v>-1.8172780933544668</v>
      </c>
      <c r="C96" s="1">
        <f t="shared" si="2"/>
        <v>0.16246737065326461</v>
      </c>
      <c r="D96" s="1" t="e">
        <f>$M$26+$O$26*C96+$P$26*$F$15+$Q$26*Brugerflade!$E$3+$R$26*Brugerflade!$G$3+$S$26*$F$15*$F$15+$T$26*Beregning!$S$4</f>
        <v>#REF!</v>
      </c>
    </row>
    <row r="97" spans="1:4" s="1" customFormat="1" x14ac:dyDescent="0.3">
      <c r="A97" s="1">
        <v>235</v>
      </c>
      <c r="B97" s="1">
        <f>LN(Brugerflade!$M$8)-$F$29*A97</f>
        <v>-1.9196517600211327</v>
      </c>
      <c r="C97" s="1">
        <f t="shared" si="2"/>
        <v>0.14665802542636874</v>
      </c>
      <c r="D97" s="1" t="e">
        <f>$M$26+$O$26*C97+$P$26*$F$15+$Q$26*Brugerflade!$E$3+$R$26*Brugerflade!$G$3+$S$26*$F$15*$F$15+$T$26*Beregning!$S$4</f>
        <v>#REF!</v>
      </c>
    </row>
    <row r="98" spans="1:4" s="1" customFormat="1" x14ac:dyDescent="0.3">
      <c r="A98" s="1">
        <v>240</v>
      </c>
      <c r="B98" s="1">
        <f>LN(Brugerflade!$M$8)-$F$29*A98</f>
        <v>-2.0220254266877995</v>
      </c>
      <c r="C98" s="1">
        <f t="shared" si="2"/>
        <v>0.13238705307704324</v>
      </c>
      <c r="D98" s="1" t="e">
        <f>$M$26+$O$26*C98+$P$26*$F$15+$Q$26*Brugerflade!$E$3+$R$26*Brugerflade!$G$3+$S$26*$F$15*$F$15+$T$26*Beregning!$S$4</f>
        <v>#REF!</v>
      </c>
    </row>
    <row r="99" spans="1:4" s="1" customFormat="1" x14ac:dyDescent="0.3">
      <c r="A99" s="1">
        <v>245</v>
      </c>
      <c r="B99" s="1">
        <f>LN(Brugerflade!$M$8)-$F$29*A99</f>
        <v>-2.1243990933544654</v>
      </c>
      <c r="C99" s="1">
        <f t="shared" si="2"/>
        <v>0.11950475789832016</v>
      </c>
      <c r="D99" s="1" t="e">
        <f>$M$26+$O$26*C99+$P$26*$F$15+$Q$26*Brugerflade!$E$3+$R$26*Brugerflade!$G$3+$S$26*$F$15*$F$15+$T$26*Beregning!$S$4</f>
        <v>#REF!</v>
      </c>
    </row>
    <row r="100" spans="1:4" s="1" customFormat="1" x14ac:dyDescent="0.3">
      <c r="A100" s="1">
        <v>250</v>
      </c>
      <c r="B100" s="1">
        <f>LN(Brugerflade!$M$8)-$F$29*A100</f>
        <v>-2.2267727600211313</v>
      </c>
      <c r="C100" s="1">
        <f t="shared" si="2"/>
        <v>0.10787601074574112</v>
      </c>
      <c r="D100" s="1" t="e">
        <f>$M$26+$O$26*C100+$P$26*$F$15+$Q$26*Brugerflade!$E$3+$R$26*Brugerflade!$G$3+$S$26*$F$15*$F$15+$T$26*Beregning!$S$4</f>
        <v>#REF!</v>
      </c>
    </row>
    <row r="101" spans="1:4" s="1" customFormat="1" x14ac:dyDescent="0.3">
      <c r="A101" s="1">
        <v>255</v>
      </c>
      <c r="B101" s="1">
        <f>LN(Brugerflade!$M$8)-$F$29*A101</f>
        <v>-2.3291464266877981</v>
      </c>
      <c r="C101" s="1">
        <f t="shared" si="2"/>
        <v>9.7378831596953708E-2</v>
      </c>
      <c r="D101" s="1" t="e">
        <f>$M$26+$O$26*C101+$P$26*$F$15+$Q$26*Brugerflade!$E$3+$R$26*Brugerflade!$G$3+$S$26*$F$15*$F$15+$T$26*Beregning!$S$4</f>
        <v>#REF!</v>
      </c>
    </row>
    <row r="102" spans="1:4" s="1" customFormat="1" x14ac:dyDescent="0.3">
      <c r="A102" s="1">
        <v>260</v>
      </c>
      <c r="B102" s="1">
        <f>LN(Brugerflade!$M$8)-$F$29*A102</f>
        <v>-2.4315200933544641</v>
      </c>
      <c r="C102" s="1">
        <f t="shared" si="2"/>
        <v>8.7903110039339746E-2</v>
      </c>
      <c r="D102" s="1" t="e">
        <f>$M$26+$O$26*C102+$P$26*$F$15+$Q$26*Brugerflade!$E$3+$R$26*Brugerflade!$G$3+$S$26*$F$15*$F$15+$T$26*Beregning!$S$4</f>
        <v>#REF!</v>
      </c>
    </row>
    <row r="103" spans="1:4" s="1" customFormat="1" x14ac:dyDescent="0.3">
      <c r="A103" s="1">
        <v>265</v>
      </c>
      <c r="B103" s="1">
        <f>LN(Brugerflade!$M$8)-$F$29*A103</f>
        <v>-2.53389376002113</v>
      </c>
      <c r="C103" s="1">
        <f t="shared" si="2"/>
        <v>7.9349450264198831E-2</v>
      </c>
      <c r="D103" s="1" t="e">
        <f>$M$26+$O$26*C103+$P$26*$F$15+$Q$26*Brugerflade!$E$3+$R$26*Brugerflade!$G$3+$S$26*$F$15*$F$15+$T$26*Beregning!$S$4</f>
        <v>#REF!</v>
      </c>
    </row>
    <row r="104" spans="1:4" s="1" customFormat="1" x14ac:dyDescent="0.3">
      <c r="A104" s="1">
        <v>270</v>
      </c>
      <c r="B104" s="1">
        <f>LN(Brugerflade!$M$8)-$F$29*A104</f>
        <v>-2.6362674266877968</v>
      </c>
      <c r="C104" s="1">
        <f t="shared" si="2"/>
        <v>7.1628128452027762E-2</v>
      </c>
      <c r="D104" s="1" t="e">
        <f>$M$26+$O$26*C104+$P$26*$F$15+$Q$26*Brugerflade!$E$3+$R$26*Brugerflade!$G$3+$S$26*$F$15*$F$15+$T$26*Beregning!$S$4</f>
        <v>#REF!</v>
      </c>
    </row>
    <row r="105" spans="1:4" s="1" customFormat="1" x14ac:dyDescent="0.3">
      <c r="A105" s="1">
        <v>275</v>
      </c>
      <c r="B105" s="1">
        <f>LN(Brugerflade!$M$8)-$F$29*A105</f>
        <v>-2.7386410933544627</v>
      </c>
      <c r="C105" s="1">
        <f t="shared" si="2"/>
        <v>6.4658151612362588E-2</v>
      </c>
      <c r="D105" s="1" t="e">
        <f>$M$26+$O$26*C105+$P$26*$F$15+$Q$26*Brugerflade!$E$3+$R$26*Brugerflade!$G$3+$S$26*$F$15*$F$15+$T$26*Beregning!$S$4</f>
        <v>#REF!</v>
      </c>
    </row>
    <row r="106" spans="1:4" s="1" customFormat="1" x14ac:dyDescent="0.3">
      <c r="A106" s="1">
        <v>280</v>
      </c>
      <c r="B106" s="1">
        <f>LN(Brugerflade!$M$8)-$F$29*A106</f>
        <v>-2.8410147600211286</v>
      </c>
      <c r="C106" s="1">
        <f t="shared" si="2"/>
        <v>5.8366408005860924E-2</v>
      </c>
      <c r="D106" s="1" t="e">
        <f>$M$26+$O$26*C106+$P$26*$F$15+$Q$26*Brugerflade!$E$3+$R$26*Brugerflade!$G$3+$S$26*$F$15*$F$15+$T$26*Beregning!$S$4</f>
        <v>#REF!</v>
      </c>
    </row>
    <row r="107" spans="1:4" s="1" customFormat="1" x14ac:dyDescent="0.3">
      <c r="A107" s="1">
        <v>285</v>
      </c>
      <c r="B107" s="1">
        <f>LN(Brugerflade!$M$8)-$F$29*A107</f>
        <v>-2.9433884266877945</v>
      </c>
      <c r="C107" s="1">
        <f t="shared" si="2"/>
        <v>5.268690023695758E-2</v>
      </c>
      <c r="D107" s="1" t="e">
        <f>$M$26+$O$26*C107+$P$26*$F$15+$Q$26*Brugerflade!$E$3+$R$26*Brugerflade!$G$3+$S$26*$F$15*$F$15+$T$26*Beregning!$S$4</f>
        <v>#REF!</v>
      </c>
    </row>
    <row r="108" spans="1:4" s="1" customFormat="1" x14ac:dyDescent="0.3">
      <c r="A108" s="1">
        <v>290</v>
      </c>
      <c r="B108" s="1">
        <f>LN(Brugerflade!$M$8)-$F$29*A108</f>
        <v>-3.0457620933544614</v>
      </c>
      <c r="C108" s="1">
        <f t="shared" si="2"/>
        <v>4.7560052972599798E-2</v>
      </c>
      <c r="D108" s="1" t="e">
        <f>$M$26+$O$26*C108+$P$26*$F$15+$Q$26*Brugerflade!$E$3+$R$26*Brugerflade!$G$3+$S$26*$F$15*$F$15+$T$26*Beregning!$S$4</f>
        <v>#REF!</v>
      </c>
    </row>
    <row r="109" spans="1:4" s="1" customFormat="1" x14ac:dyDescent="0.3">
      <c r="A109" s="1">
        <v>295</v>
      </c>
      <c r="B109" s="1">
        <f>LN(Brugerflade!$M$8)-$F$29*A109</f>
        <v>-3.1481357600211273</v>
      </c>
      <c r="C109" s="1">
        <f t="shared" si="2"/>
        <v>4.293208802536147E-2</v>
      </c>
      <c r="D109" s="1" t="e">
        <f>$M$26+$O$26*C109+$P$26*$F$15+$Q$26*Brugerflade!$E$3+$R$26*Brugerflade!$G$3+$S$26*$F$15*$F$15+$T$26*Beregning!$S$4</f>
        <v>#REF!</v>
      </c>
    </row>
    <row r="110" spans="1:4" s="1" customFormat="1" x14ac:dyDescent="0.3">
      <c r="A110" s="1">
        <v>300</v>
      </c>
      <c r="B110" s="1">
        <f>LN(Brugerflade!$M$8)-$F$29*A110</f>
        <v>-3.2505094266877932</v>
      </c>
      <c r="C110" s="1">
        <f t="shared" si="2"/>
        <v>3.8754460245855188E-2</v>
      </c>
      <c r="D110" s="1" t="e">
        <f>$M$26+$O$26*C110+$P$26*$F$15+$Q$26*Brugerflade!$E$3+$R$26*Brugerflade!$G$3+$S$26*$F$15*$F$15+$T$26*Beregning!$S$4</f>
        <v>#REF!</v>
      </c>
    </row>
    <row r="111" spans="1:4" s="1" customFormat="1" x14ac:dyDescent="0.3">
      <c r="A111" s="1">
        <v>305</v>
      </c>
      <c r="B111" s="1">
        <f>LN(Brugerflade!$M$8)-$F$29*A111</f>
        <v>-3.35288309335446</v>
      </c>
      <c r="C111" s="1">
        <f t="shared" si="2"/>
        <v>3.4983348307222786E-2</v>
      </c>
      <c r="D111" s="1" t="e">
        <f>$M$26+$O$26*C111+$P$26*$F$15+$Q$26*Brugerflade!$E$3+$R$26*Brugerflade!$G$3+$S$26*$F$15*$F$15+$T$26*Beregning!$S$4</f>
        <v>#REF!</v>
      </c>
    </row>
    <row r="112" spans="1:4" s="1" customFormat="1" x14ac:dyDescent="0.3">
      <c r="A112" s="1">
        <v>310</v>
      </c>
      <c r="B112" s="1">
        <f>LN(Brugerflade!$M$8)-$F$29*A112</f>
        <v>-3.4552567600211259</v>
      </c>
      <c r="C112" s="1">
        <f t="shared" si="2"/>
        <v>3.1579195040275607E-2</v>
      </c>
      <c r="D112" s="1" t="e">
        <f>$M$26+$O$26*C112+$P$26*$F$15+$Q$26*Brugerflade!$E$3+$R$26*Brugerflade!$G$3+$S$26*$F$15*$F$15+$T$26*Beregning!$S$4</f>
        <v>#REF!</v>
      </c>
    </row>
    <row r="113" spans="1:4" s="1" customFormat="1" x14ac:dyDescent="0.3">
      <c r="A113" s="1">
        <v>315</v>
      </c>
      <c r="B113" s="1">
        <f>LN(Brugerflade!$M$8)-$F$29*A113</f>
        <v>-3.5576304266877918</v>
      </c>
      <c r="C113" s="1">
        <f t="shared" si="2"/>
        <v>2.8506292497618723E-2</v>
      </c>
      <c r="D113" s="1" t="e">
        <f>$M$26+$O$26*C113+$P$26*$F$15+$Q$26*Brugerflade!$E$3+$R$26*Brugerflade!$G$3+$S$26*$F$15*$F$15+$T$26*Beregning!$S$4</f>
        <v>#REF!</v>
      </c>
    </row>
    <row r="114" spans="1:4" s="1" customFormat="1" x14ac:dyDescent="0.3">
      <c r="A114" s="1">
        <v>320</v>
      </c>
      <c r="B114" s="1">
        <f>LN(Brugerflade!$M$8)-$F$29*A114</f>
        <v>-3.6600040933544586</v>
      </c>
      <c r="C114" s="1">
        <f t="shared" ref="C114:C123" si="3">EXP(B114)</f>
        <v>2.5732407394279826E-2</v>
      </c>
      <c r="D114" s="1" t="e">
        <f>$M$26+$O$26*C114+$P$26*$F$15+$Q$26*Brugerflade!$E$3+$R$26*Brugerflade!$G$3+$S$26*$F$15*$F$15+$T$26*Beregning!$S$4</f>
        <v>#REF!</v>
      </c>
    </row>
    <row r="115" spans="1:4" s="1" customFormat="1" x14ac:dyDescent="0.3">
      <c r="A115" s="1">
        <v>325</v>
      </c>
      <c r="B115" s="1">
        <f>LN(Brugerflade!$M$8)-$F$29*A115</f>
        <v>-3.7623777600211246</v>
      </c>
      <c r="C115" s="1">
        <f t="shared" si="3"/>
        <v>2.3228442995892957E-2</v>
      </c>
      <c r="D115" s="1" t="e">
        <f>$M$26+$O$26*C115+$P$26*$F$15+$Q$26*Brugerflade!$E$3+$R$26*Brugerflade!$G$3+$S$26*$F$15*$F$15+$T$26*Beregning!$S$4</f>
        <v>#REF!</v>
      </c>
    </row>
    <row r="116" spans="1:4" s="1" customFormat="1" x14ac:dyDescent="0.3">
      <c r="A116" s="1">
        <v>330</v>
      </c>
      <c r="B116" s="1">
        <f>LN(Brugerflade!$M$8)-$F$29*A116</f>
        <v>-3.8647514266877905</v>
      </c>
      <c r="C116" s="1">
        <f t="shared" si="3"/>
        <v>2.0968133907804911E-2</v>
      </c>
      <c r="D116" s="1" t="e">
        <f>$M$26+$O$26*C116+$P$26*$F$15+$Q$26*Brugerflade!$E$3+$R$26*Brugerflade!$G$3+$S$26*$F$15*$F$15+$T$26*Beregning!$S$4</f>
        <v>#REF!</v>
      </c>
    </row>
    <row r="117" spans="1:4" s="1" customFormat="1" x14ac:dyDescent="0.3">
      <c r="A117" s="1">
        <v>335</v>
      </c>
      <c r="B117" s="1">
        <f>LN(Brugerflade!$M$8)-$F$29*A117</f>
        <v>-3.9671250933544573</v>
      </c>
      <c r="C117" s="1">
        <f t="shared" si="3"/>
        <v>1.8927770563587701E-2</v>
      </c>
      <c r="D117" s="1" t="e">
        <f>$M$26+$O$26*C117+$P$26*$F$15+$Q$26*Brugerflade!$E$3+$R$26*Brugerflade!$G$3+$S$26*$F$15*$F$15+$T$26*Beregning!$S$4</f>
        <v>#REF!</v>
      </c>
    </row>
    <row r="118" spans="1:4" s="1" customFormat="1" x14ac:dyDescent="0.3">
      <c r="A118" s="1">
        <v>340</v>
      </c>
      <c r="B118" s="1">
        <f>LN(Brugerflade!$M$8)-$F$29*A118</f>
        <v>-4.0694987600211228</v>
      </c>
      <c r="C118" s="1">
        <f t="shared" si="3"/>
        <v>1.7085950522972539E-2</v>
      </c>
      <c r="D118" s="1" t="e">
        <f>$M$26+$O$26*C118+$P$26*$F$15+$Q$26*Brugerflade!$E$3+$R$26*Brugerflade!$G$3+$S$26*$F$15*$F$15+$T$26*Beregning!$S$4</f>
        <v>#REF!</v>
      </c>
    </row>
    <row r="119" spans="1:4" s="1" customFormat="1" x14ac:dyDescent="0.3">
      <c r="A119" s="1">
        <v>345</v>
      </c>
      <c r="B119" s="1">
        <f>LN(Brugerflade!$M$8)-$F$29*A119</f>
        <v>-4.1718724266877896</v>
      </c>
      <c r="C119" s="1">
        <f t="shared" si="3"/>
        <v>1.542335397043881E-2</v>
      </c>
      <c r="D119" s="1" t="e">
        <f>$M$26+$O$26*C119+$P$26*$F$15+$Q$26*Brugerflade!$E$3+$R$26*Brugerflade!$G$3+$S$26*$F$15*$F$15+$T$26*Beregning!$S$4</f>
        <v>#REF!</v>
      </c>
    </row>
    <row r="120" spans="1:4" s="1" customFormat="1" x14ac:dyDescent="0.3">
      <c r="A120" s="1">
        <v>350</v>
      </c>
      <c r="B120" s="1">
        <f>LN(Brugerflade!$M$8)-$F$29*A120</f>
        <v>-4.2742460933544564</v>
      </c>
      <c r="C120" s="1">
        <f t="shared" si="3"/>
        <v>1.3922541059545648E-2</v>
      </c>
      <c r="D120" s="1" t="e">
        <f>$M$26+$O$26*C120+$P$26*$F$15+$Q$26*Brugerflade!$E$3+$R$26*Brugerflade!$G$3+$S$26*$F$15*$F$15+$T$26*Beregning!$S$4</f>
        <v>#REF!</v>
      </c>
    </row>
    <row r="121" spans="1:4" s="1" customFormat="1" x14ac:dyDescent="0.3">
      <c r="A121" s="1">
        <v>355</v>
      </c>
      <c r="B121" s="1">
        <f>LN(Brugerflade!$M$8)-$F$29*A121</f>
        <v>-4.3766197600211214</v>
      </c>
      <c r="C121" s="1">
        <f t="shared" si="3"/>
        <v>1.2567768977244055E-2</v>
      </c>
      <c r="D121" s="1" t="e">
        <f>$M$26+$O$26*C121+$P$26*$F$15+$Q$26*Brugerflade!$E$3+$R$26*Brugerflade!$G$3+$S$26*$F$15*$F$15+$T$26*Beregning!$S$4</f>
        <v>#REF!</v>
      </c>
    </row>
    <row r="122" spans="1:4" s="1" customFormat="1" x14ac:dyDescent="0.3">
      <c r="A122" s="1">
        <v>360</v>
      </c>
      <c r="B122" s="1">
        <f>LN(Brugerflade!$M$8)-$F$29*A122</f>
        <v>-4.4789934266877882</v>
      </c>
      <c r="C122" s="1">
        <f t="shared" si="3"/>
        <v>1.1344826809261523E-2</v>
      </c>
      <c r="D122" s="1" t="e">
        <f>$M$26+$O$26*C122+$P$26*$F$15+$Q$26*Brugerflade!$E$3+$R$26*Brugerflade!$G$3+$S$26*$F$15*$F$15+$T$26*Beregning!$S$4</f>
        <v>#REF!</v>
      </c>
    </row>
    <row r="123" spans="1:4" s="1" customFormat="1" x14ac:dyDescent="0.3">
      <c r="A123" s="1">
        <v>365</v>
      </c>
      <c r="B123" s="1">
        <f>LN(Brugerflade!$M$8)-$F$29*A123</f>
        <v>-4.581367093354455</v>
      </c>
      <c r="C123" s="1">
        <f t="shared" si="3"/>
        <v>1.0240886474375844E-2</v>
      </c>
      <c r="D123" s="1" t="e">
        <f>$M$26+$O$26*C123+$P$26*$F$15+$Q$26*Brugerflade!$E$3+$R$26*Brugerflade!$G$3+$S$26*$F$15*$F$15+$T$26*Beregning!$S$4</f>
        <v>#REF!</v>
      </c>
    </row>
    <row r="124" spans="1:4" s="1" customFormat="1" x14ac:dyDescent="0.3"/>
    <row r="125" spans="1:4" s="1" customFormat="1" x14ac:dyDescent="0.3"/>
    <row r="126" spans="1:4" s="1" customFormat="1" x14ac:dyDescent="0.3"/>
  </sheetData>
  <sheetProtection algorithmName="SHA-512" hashValue="ewH7z9MvDHWpseXxCsPl+OXE943zICRMARX0e3VzrhiIYU4vAAx0cU7zercZ1pROzhwJ4/huaa0TF+St9z5QpQ==" saltValue="gzYG/Nn6Zed/YcMHo3EZj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Brugerflade</vt:lpstr>
      <vt:lpstr>Beregning</vt:lpstr>
    </vt:vector>
  </TitlesOfParts>
  <Company>Teknologisk Institut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Borggaard</dc:creator>
  <cp:lastModifiedBy>Flemming Hansen</cp:lastModifiedBy>
  <dcterms:created xsi:type="dcterms:W3CDTF">2015-11-17T13:40:25Z</dcterms:created>
  <dcterms:modified xsi:type="dcterms:W3CDTF">2015-12-16T08:48:00Z</dcterms:modified>
</cp:coreProperties>
</file>